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urdue0-my.sharepoint.com/personal/sgurnani_purdue_edu/Documents/2024-2025/Fall 2024/ME 49601EVD/"/>
    </mc:Choice>
  </mc:AlternateContent>
  <xr:revisionPtr revIDLastSave="895" documentId="8_{9C58F733-032F-4DC4-8E2A-929237D67F65}" xr6:coauthVersionLast="47" xr6:coauthVersionMax="47" xr10:uidLastSave="{022F986F-0A6E-44DB-BA5B-16349CB5EDA0}"/>
  <bookViews>
    <workbookView xWindow="-108" yWindow="-108" windowWidth="23256" windowHeight="12456" xr2:uid="{F11B2375-B211-430C-AB3B-9B3F0E86F53F}"/>
  </bookViews>
  <sheets>
    <sheet name="Vehicle 1 Calculations" sheetId="6" r:id="rId1"/>
    <sheet name="Vehicle 2 Calculations" sheetId="8" r:id="rId2"/>
    <sheet name="Vehicle 3 Calculations" sheetId="9" r:id="rId3"/>
    <sheet name="Weather (Friction Coefficient)" sheetId="7" r:id="rId4"/>
    <sheet name="Vehicle Options" sheetId="5" r:id="rId5"/>
    <sheet name="Motor Options" sheetId="2" r:id="rId6"/>
    <sheet name="Battery Pack Options" sheetId="3" r:id="rId7"/>
    <sheet name="Gearbox Options" sheetId="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9" l="1"/>
  <c r="C36" i="9"/>
  <c r="C35" i="9" a="1"/>
  <c r="C35" i="9" s="1"/>
  <c r="C32" i="9"/>
  <c r="C31" i="9" a="1"/>
  <c r="C31" i="9" s="1"/>
  <c r="C28" i="9"/>
  <c r="C27" i="9"/>
  <c r="C26" i="9"/>
  <c r="C25" i="9"/>
  <c r="C24" i="9"/>
  <c r="C61" i="9" s="1"/>
  <c r="C23" i="9" a="1"/>
  <c r="C23" i="9" s="1"/>
  <c r="C20" i="9"/>
  <c r="C19" i="9"/>
  <c r="C18" i="9"/>
  <c r="C17" i="9" a="1"/>
  <c r="C17" i="9" s="1"/>
  <c r="C14" i="9"/>
  <c r="C48" i="9" s="1"/>
  <c r="C54" i="9" s="1"/>
  <c r="C90" i="9" s="1"/>
  <c r="C13" i="9"/>
  <c r="C12" i="9"/>
  <c r="C40" i="9" s="1"/>
  <c r="C11" i="9"/>
  <c r="C10" i="9"/>
  <c r="C9" i="9"/>
  <c r="C40" i="8"/>
  <c r="C36" i="8"/>
  <c r="C35" i="8" a="1"/>
  <c r="C35" i="8" s="1"/>
  <c r="C32" i="8"/>
  <c r="C31" i="8" a="1"/>
  <c r="C31" i="8" s="1"/>
  <c r="C28" i="8"/>
  <c r="C27" i="8"/>
  <c r="C41" i="8" s="1"/>
  <c r="C26" i="8"/>
  <c r="C25" i="8"/>
  <c r="C62" i="8" s="1"/>
  <c r="C24" i="8"/>
  <c r="C61" i="8" s="1"/>
  <c r="C23" i="8" a="1"/>
  <c r="C23" i="8" s="1"/>
  <c r="C20" i="8"/>
  <c r="C19" i="8"/>
  <c r="C18" i="8"/>
  <c r="C17" i="8" a="1"/>
  <c r="C17" i="8" s="1"/>
  <c r="C14" i="8"/>
  <c r="C48" i="8" s="1"/>
  <c r="C54" i="8" s="1"/>
  <c r="C90" i="8" s="1"/>
  <c r="C13" i="8"/>
  <c r="C12" i="8"/>
  <c r="C11" i="8"/>
  <c r="C10" i="8"/>
  <c r="C9" i="8"/>
  <c r="C32" i="6"/>
  <c r="C13" i="6"/>
  <c r="C36" i="6"/>
  <c r="C35" i="6" a="1"/>
  <c r="C35" i="6" s="1"/>
  <c r="C31" i="6" a="1"/>
  <c r="C31" i="6" s="1"/>
  <c r="C23" i="6" a="1"/>
  <c r="C23" i="6" s="1"/>
  <c r="C17" i="6" a="1"/>
  <c r="C17" i="6" s="1"/>
  <c r="C28" i="6"/>
  <c r="C27" i="6"/>
  <c r="C41" i="6" s="1"/>
  <c r="C26" i="6"/>
  <c r="C25" i="6"/>
  <c r="C24" i="6"/>
  <c r="C20" i="6"/>
  <c r="C19" i="6"/>
  <c r="C18" i="6"/>
  <c r="C14" i="6"/>
  <c r="C48" i="6" s="1"/>
  <c r="C54" i="6" s="1"/>
  <c r="C90" i="6" s="1"/>
  <c r="C12" i="6"/>
  <c r="C40" i="6" s="1"/>
  <c r="C11" i="6"/>
  <c r="C10" i="6"/>
  <c r="C9" i="6"/>
  <c r="C62" i="9" l="1"/>
  <c r="C63" i="9" s="1"/>
  <c r="C42" i="9"/>
  <c r="C74" i="9"/>
  <c r="C75" i="9" s="1"/>
  <c r="C91" i="9"/>
  <c r="C66" i="9"/>
  <c r="C70" i="9" s="1"/>
  <c r="C44" i="9"/>
  <c r="C45" i="9" s="1"/>
  <c r="C63" i="8"/>
  <c r="C74" i="8"/>
  <c r="C42" i="8"/>
  <c r="C62" i="6"/>
  <c r="C61" i="6"/>
  <c r="C74" i="6"/>
  <c r="C42" i="6"/>
  <c r="C75" i="8" l="1"/>
  <c r="C67" i="9"/>
  <c r="C84" i="9" s="1"/>
  <c r="C50" i="9"/>
  <c r="C49" i="9"/>
  <c r="C53" i="9" s="1"/>
  <c r="C55" i="9" s="1"/>
  <c r="C71" i="9"/>
  <c r="C103" i="9"/>
  <c r="C66" i="8"/>
  <c r="C70" i="8" s="1"/>
  <c r="C44" i="8"/>
  <c r="C91" i="8"/>
  <c r="C66" i="6"/>
  <c r="C70" i="6" s="1"/>
  <c r="C91" i="6"/>
  <c r="C63" i="6"/>
  <c r="C75" i="6"/>
  <c r="C44" i="6"/>
  <c r="C71" i="6" s="1"/>
  <c r="C56" i="9" l="1"/>
  <c r="C76" i="9"/>
  <c r="C79" i="9"/>
  <c r="C80" i="9" s="1"/>
  <c r="C71" i="8"/>
  <c r="C45" i="8"/>
  <c r="C103" i="8"/>
  <c r="C45" i="6"/>
  <c r="C49" i="6" s="1"/>
  <c r="C53" i="6" s="1"/>
  <c r="C103" i="6"/>
  <c r="C50" i="6" l="1"/>
  <c r="C67" i="6"/>
  <c r="C84" i="6" s="1"/>
  <c r="C85" i="9"/>
  <c r="B112" i="9"/>
  <c r="C58" i="9"/>
  <c r="C104" i="9" s="1"/>
  <c r="C67" i="8"/>
  <c r="C84" i="8" s="1"/>
  <c r="C49" i="8"/>
  <c r="C53" i="8" s="1"/>
  <c r="C55" i="8" s="1"/>
  <c r="C50" i="8"/>
  <c r="C55" i="6"/>
  <c r="C79" i="6" s="1"/>
  <c r="C86" i="9" l="1"/>
  <c r="C89" i="9" s="1"/>
  <c r="C97" i="9" s="1"/>
  <c r="C92" i="9"/>
  <c r="C76" i="8"/>
  <c r="C56" i="8"/>
  <c r="C79" i="8"/>
  <c r="C80" i="8" s="1"/>
  <c r="C56" i="6"/>
  <c r="C80" i="6"/>
  <c r="C76" i="6"/>
  <c r="C94" i="9" l="1"/>
  <c r="C110" i="9" s="1"/>
  <c r="C109" i="9"/>
  <c r="C98" i="9"/>
  <c r="C99" i="9" s="1"/>
  <c r="B106" i="9"/>
  <c r="B112" i="8"/>
  <c r="C58" i="8"/>
  <c r="C85" i="8"/>
  <c r="C85" i="6"/>
  <c r="C92" i="6" s="1"/>
  <c r="C58" i="6"/>
  <c r="C104" i="6" s="1"/>
  <c r="B112" i="6"/>
  <c r="C86" i="6" l="1"/>
  <c r="C89" i="6" s="1"/>
  <c r="C97" i="6" s="1"/>
  <c r="B106" i="6" s="1"/>
  <c r="C94" i="6"/>
  <c r="C110" i="6" s="1"/>
  <c r="C109" i="6"/>
  <c r="C104" i="8"/>
  <c r="C86" i="8"/>
  <c r="C89" i="8" s="1"/>
  <c r="C97" i="8" s="1"/>
  <c r="C92" i="8"/>
  <c r="C98" i="6" l="1"/>
  <c r="C99" i="6" s="1"/>
  <c r="C98" i="8"/>
  <c r="C99" i="8" s="1"/>
  <c r="B106" i="8"/>
  <c r="C94" i="8"/>
  <c r="C110" i="8" s="1"/>
  <c r="C109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<sst xmlns="http://schemas.openxmlformats.org/spreadsheetml/2006/main" count="331" uniqueCount="117">
  <si>
    <t>Name</t>
  </si>
  <si>
    <t>Rated Speed (RPM)</t>
  </si>
  <si>
    <t>No-Load Speed (RPM)</t>
  </si>
  <si>
    <t>Rated Torque (Nm)</t>
  </si>
  <si>
    <t>Motor 1</t>
  </si>
  <si>
    <t>Motor 2</t>
  </si>
  <si>
    <t>Motor 3</t>
  </si>
  <si>
    <t>Motor 4</t>
  </si>
  <si>
    <t>Motor 5</t>
  </si>
  <si>
    <t>Motor 6</t>
  </si>
  <si>
    <t>Nominal Voltage (V)</t>
  </si>
  <si>
    <t>Capacity (kWh)</t>
  </si>
  <si>
    <t>Peak Power (kW)</t>
  </si>
  <si>
    <t>Weight (lbs)</t>
  </si>
  <si>
    <t>Cost ($)</t>
  </si>
  <si>
    <t>Battery 1</t>
  </si>
  <si>
    <t>Battery 2</t>
  </si>
  <si>
    <t>Battery 3</t>
  </si>
  <si>
    <t>Battery 4</t>
  </si>
  <si>
    <t>Gearbox 1</t>
  </si>
  <si>
    <t>Gearbox 2</t>
  </si>
  <si>
    <t>Gearbox 3</t>
  </si>
  <si>
    <t>Vehicle 1</t>
  </si>
  <si>
    <t>Vehicle 2</t>
  </si>
  <si>
    <t>Vehicle 3</t>
  </si>
  <si>
    <t>Make</t>
  </si>
  <si>
    <t>Model</t>
  </si>
  <si>
    <t>Year</t>
  </si>
  <si>
    <t>Vehicle Number</t>
  </si>
  <si>
    <t>Mazda</t>
  </si>
  <si>
    <t>MX-5 Miata</t>
  </si>
  <si>
    <t>Toyota</t>
  </si>
  <si>
    <t>Camry</t>
  </si>
  <si>
    <t>Drive Type</t>
  </si>
  <si>
    <t>Tire Diameter (in)</t>
  </si>
  <si>
    <t>Full Specs</t>
  </si>
  <si>
    <t>2024 Mazda MX-5 Miata Sport Specs &amp; Features | Edmunds</t>
  </si>
  <si>
    <t>2024 Toyota Camry Specs &amp; Features | Edmunds</t>
  </si>
  <si>
    <t>2024 Chevrolet Tahoe LS Specs &amp; Features | Edmunds</t>
  </si>
  <si>
    <t>Chevrolet </t>
  </si>
  <si>
    <t>Tahoe</t>
  </si>
  <si>
    <t>Ratio (__:1)</t>
  </si>
  <si>
    <t>Vehicle Chosen:</t>
  </si>
  <si>
    <t>INPUTS</t>
  </si>
  <si>
    <t>Vehicle Specifications</t>
  </si>
  <si>
    <t>Vehicle Weight (lbs)</t>
  </si>
  <si>
    <t>RWD</t>
  </si>
  <si>
    <t>FWD</t>
  </si>
  <si>
    <t>AWD</t>
  </si>
  <si>
    <t>Motor Specifications</t>
  </si>
  <si>
    <t>Motor Chosen:</t>
  </si>
  <si>
    <t>Battery Pack Chosen:</t>
  </si>
  <si>
    <t xml:space="preserve">Gearbox Chosen: </t>
  </si>
  <si>
    <t xml:space="preserve">No-Load Speed (RPM) </t>
  </si>
  <si>
    <t>Battery Pack Specifications</t>
  </si>
  <si>
    <t>Motor</t>
  </si>
  <si>
    <t>Battery</t>
  </si>
  <si>
    <t xml:space="preserve">Gearbox Specifications </t>
  </si>
  <si>
    <t>Gearbox</t>
  </si>
  <si>
    <t>Weather:</t>
  </si>
  <si>
    <t>Weather</t>
  </si>
  <si>
    <t>Wet</t>
  </si>
  <si>
    <t>Dry</t>
  </si>
  <si>
    <t>Coefficient of Friction</t>
  </si>
  <si>
    <t xml:space="preserve">Weather </t>
  </si>
  <si>
    <t>Friction Coefficient</t>
  </si>
  <si>
    <t>Forces at Wheels/Tires</t>
  </si>
  <si>
    <t>Vehicle Weight (kg)</t>
  </si>
  <si>
    <t>Battery Weight (kg)</t>
  </si>
  <si>
    <t>Total Weight (kg)</t>
  </si>
  <si>
    <t>Normal Force (N)</t>
  </si>
  <si>
    <t>Traction Force (N)</t>
  </si>
  <si>
    <t>Torques</t>
  </si>
  <si>
    <t>Tire Radius (m)</t>
  </si>
  <si>
    <t>Torque at motor (Nm)</t>
  </si>
  <si>
    <t>Torque at Wheel (Nm)</t>
  </si>
  <si>
    <t>Speeds</t>
  </si>
  <si>
    <t>RPM at Motor Torque</t>
  </si>
  <si>
    <t>Tire Circumference (m)</t>
  </si>
  <si>
    <t>Constant Torque (CT)</t>
  </si>
  <si>
    <t>Delta Energy (kJ)</t>
  </si>
  <si>
    <t>Time (s)</t>
  </si>
  <si>
    <t>Force (N)</t>
  </si>
  <si>
    <t>Acceleration (m/s^2)</t>
  </si>
  <si>
    <t>Rated Speed at RPM (m/s)</t>
  </si>
  <si>
    <t>Rated Speed at RPM (mph)</t>
  </si>
  <si>
    <t xml:space="preserve">Battery Pack </t>
  </si>
  <si>
    <t>Max Current (A)</t>
  </si>
  <si>
    <t>Capacity (Ah)</t>
  </si>
  <si>
    <t>Energy Capacity (kWh)</t>
  </si>
  <si>
    <t>C-rate (C)</t>
  </si>
  <si>
    <t>Overall Times</t>
  </si>
  <si>
    <t>Constant Power (CP)</t>
  </si>
  <si>
    <t>Total Mass (kg)</t>
  </si>
  <si>
    <t>Traction Limited Acceleration</t>
  </si>
  <si>
    <t>Sum of CT and CP (s)</t>
  </si>
  <si>
    <t>Fully Traction Limited (s)</t>
  </si>
  <si>
    <t>Accel of CT and CP (m/s^2)</t>
  </si>
  <si>
    <t>Calculations at 60 mph</t>
  </si>
  <si>
    <t>Wheel RPM</t>
  </si>
  <si>
    <t>Kinetic Energy (J)</t>
  </si>
  <si>
    <t>Current to Accelerate Vehicle (A)</t>
  </si>
  <si>
    <t>Power (kW)</t>
  </si>
  <si>
    <t>Torque of Motor (with limits)</t>
  </si>
  <si>
    <t>Torque of Wheel (Nm)</t>
  </si>
  <si>
    <t>Torque of Motor (Nm)</t>
  </si>
  <si>
    <t>OUTPUTS</t>
  </si>
  <si>
    <t>INTERMEDIATE CALCULATIONS</t>
  </si>
  <si>
    <t>Traction Limited Through 60mph?</t>
  </si>
  <si>
    <t xml:space="preserve">0-60 Times </t>
  </si>
  <si>
    <t>Unlimited Traction (s)</t>
  </si>
  <si>
    <t>Traction Constrained (s)</t>
  </si>
  <si>
    <t>Loss of Traction?</t>
  </si>
  <si>
    <t>Unlimited Traction Acceleration</t>
  </si>
  <si>
    <t>Power/Current to Spin Wheels</t>
  </si>
  <si>
    <t>Vehicle Speed at Crossover (mph)</t>
  </si>
  <si>
    <t>Current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</si>
</sst>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1"/>
    <xf numFmtId="1" fontId="0" fillId="0" borderId="0" xfId="0" applyNumberFormat="1"/>
    <xf numFmtId="0" fontId="3" fillId="0" borderId="0" xfId="0" applyFont="1"/>
    <xf numFmtId="0" fontId="4" fillId="0" borderId="0" xfId="0" applyFont="1"/>
    <xf numFmtId="0" fontId="6" fillId="2" borderId="0" xfId="0" applyFont="1" applyFill="1"/>
    <xf numFmtId="0" fontId="7" fillId="0" borderId="0" xfId="0" applyFont="1"/>
    <xf numFmtId="0" fontId="3" fillId="0" borderId="0" xfId="0" applyFont="1" applyAlignment="1">
      <alignment horizontal="right"/>
    </xf>
    <xf numFmtId="0" fontId="3" fillId="2" borderId="0" xfId="0" applyFont="1" applyFill="1"/>
    <xf numFmtId="0" fontId="8" fillId="0" borderId="0" xfId="0" applyFont="1"/>
    <xf numFmtId="0" fontId="6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5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2EB76BB-0B0D-4949-9300-1C57728BA611}" name="Table9" displayName="Table9" ref="A1:B3" totalsRowShown="0">
  <autoFilter ref="A1:B3" xr:uid="{D2EB76BB-0B0D-4949-9300-1C57728BA611}"/>
  <tableColumns count="2">
    <tableColumn id="1" xr3:uid="{48DD052A-10BD-471E-8E7F-079812DCD3BC}" name="Weather"/>
    <tableColumn id="2" xr3:uid="{958E55B4-1E53-40F1-992F-35FF05D0BD26}" name="Coefficient of Friction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C02D0F7-BB11-4A30-952C-E960899CFEE3}" name="Table7" displayName="Table7" ref="A1:H4" totalsRowShown="0">
  <autoFilter ref="A1:H4" xr:uid="{6C02D0F7-BB11-4A30-952C-E960899CFEE3}"/>
  <tableColumns count="8">
    <tableColumn id="1" xr3:uid="{B10C3978-7C18-4A48-B345-A4A2DB4BB84E}" name="Vehicle Number"/>
    <tableColumn id="2" xr3:uid="{BBA8C909-CF57-439E-A2A9-2EA5B2984749}" name="Make"/>
    <tableColumn id="3" xr3:uid="{4C58CFD9-A09B-403D-9C36-BA3AAA311D39}" name="Model"/>
    <tableColumn id="4" xr3:uid="{2048CE54-8B4D-4EFD-A349-2BF8C3423600}" name="Year"/>
    <tableColumn id="5" xr3:uid="{2FA0477B-F05E-4FDC-AEA6-35D3834A41F1}" name="Vehicle Weight (lbs)"/>
    <tableColumn id="6" xr3:uid="{CB48F65E-FE04-4072-B5BA-8210A46E624F}" name="Drive Type"/>
    <tableColumn id="8" xr3:uid="{CF1EF869-DB46-434D-B841-3132FAA65667}" name="Tire Diameter (in)"/>
    <tableColumn id="9" xr3:uid="{D86884EC-AF0C-4899-A331-D4A4E4E0858D}" name="Full Specs" dataCellStyle="Hyperlink"/>
  </tableColumns>
  <tableStyleInfo name="TableStyleLight1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9499977-128C-4248-AFC2-449F3FC3B697}" name="Table4" displayName="Table4" ref="A1:D7" totalsRowShown="0">
  <autoFilter ref="A1:D7" xr:uid="{69499977-128C-4248-AFC2-449F3FC3B697}"/>
  <tableColumns count="4">
    <tableColumn id="1" xr3:uid="{378DA2E2-CBC4-4483-9C3D-411DA8BC6850}" name="Name"/>
    <tableColumn id="2" xr3:uid="{679D37F2-2560-41F3-86F5-F0CA49863285}" name="Rated Torque (Nm)"/>
    <tableColumn id="3" xr3:uid="{7E546B21-35BA-41D4-BCEF-14B7C7962A02}" name="Rated Speed (RPM)"/>
    <tableColumn id="4" xr3:uid="{AF6BD0D6-C4AD-4DE7-8EF7-E24A2C789A16}" name="No-Load Speed (RPM)"/>
  </tableColumns>
  <tableStyleInfo name="TableStyleLight1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13BCB85-D4D5-4514-AEDB-B79D74923339}" name="Table5" displayName="Table5" ref="A1:F5" totalsRowShown="0">
  <autoFilter ref="A1:F5" xr:uid="{713BCB85-D4D5-4514-AEDB-B79D74923339}"/>
  <tableColumns count="6">
    <tableColumn id="1" xr3:uid="{03DD324B-1524-4970-AF59-6DEE61243FCE}" name="Name"/>
    <tableColumn id="2" xr3:uid="{8584301F-6AF2-484E-A553-264C1E11CCC4}" name="Nominal Voltage (V)"/>
    <tableColumn id="3" xr3:uid="{B7252A97-4CAD-4A57-8D3A-E972E37725ED}" name="Capacity (kWh)"/>
    <tableColumn id="4" xr3:uid="{D192ED15-A56D-468E-AF56-DD3A327C35E2}" name="Peak Power (kW)"/>
    <tableColumn id="5" xr3:uid="{0DEA7F5D-BFA9-4D45-98BC-E4234E42F5C6}" name="Weight (lbs)"/>
    <tableColumn id="6" xr3:uid="{C0CDB04A-9934-4866-8E60-09003EFF35BC}" name="Cost ($)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50827CF-567E-4EE1-8F5F-CD468DFB4872}" name="Table6" displayName="Table6" ref="A1:B4" totalsRowShown="0">
  <autoFilter ref="A1:B4" xr:uid="{150827CF-567E-4EE1-8F5F-CD468DFB4872}"/>
  <tableColumns count="2">
    <tableColumn id="1" xr3:uid="{D7144727-B0CD-4441-B4E7-85ABBFB4F294}" name="Name"/>
    <tableColumn id="2" xr3:uid="{A69508FC-90B5-4CA3-BE2B-CC6DE5782AA4}" name="Ratio (__:1)" dataDxfId="3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dmunds.com/chevrolet/tahoe/2024/st-402019956/features-specs/" TargetMode="External"/><Relationship Id="rId2" Type="http://schemas.openxmlformats.org/officeDocument/2006/relationships/hyperlink" Target="https://www.edmunds.com/toyota/camry/2024/features-specs/" TargetMode="External"/><Relationship Id="rId1" Type="http://schemas.openxmlformats.org/officeDocument/2006/relationships/hyperlink" Target="https://www.edmunds.com/mazda/mx-5-miata/2024/st-401986487/features-specs/" TargetMode="External"/><Relationship Id="rId4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23E94-2FA6-4F51-836D-E409D6783896}">
  <dimension ref="A1:G112"/>
  <sheetViews>
    <sheetView tabSelected="1" workbookViewId="0">
      <selection activeCell="G16" sqref="G16"/>
    </sheetView>
  </sheetViews>
  <sheetFormatPr defaultRowHeight="14.4" x14ac:dyDescent="0.3"/>
  <cols>
    <col min="1" max="1" width="28.44140625" style="3" bestFit="1" customWidth="1"/>
    <col min="2" max="2" width="28.6640625" style="3" bestFit="1" customWidth="1"/>
    <col min="3" max="3" width="18.77734375" style="7" customWidth="1"/>
    <col min="4" max="16384" width="8.88671875" style="3"/>
  </cols>
  <sheetData>
    <row r="1" spans="1:7" ht="15.6" x14ac:dyDescent="0.3">
      <c r="A1" s="4" t="s">
        <v>42</v>
      </c>
      <c r="B1" s="6" t="s">
        <v>22</v>
      </c>
    </row>
    <row r="2" spans="1:7" ht="15.6" x14ac:dyDescent="0.3">
      <c r="A2" s="4" t="s">
        <v>50</v>
      </c>
      <c r="B2" s="6" t="s">
        <v>8</v>
      </c>
    </row>
    <row r="3" spans="1:7" ht="15.6" x14ac:dyDescent="0.3">
      <c r="A3" s="4" t="s">
        <v>51</v>
      </c>
      <c r="B3" s="6" t="s">
        <v>17</v>
      </c>
    </row>
    <row r="4" spans="1:7" ht="15.6" x14ac:dyDescent="0.3">
      <c r="A4" s="4" t="s">
        <v>52</v>
      </c>
      <c r="B4" s="6" t="s">
        <v>19</v>
      </c>
    </row>
    <row r="5" spans="1:7" ht="15.6" x14ac:dyDescent="0.3">
      <c r="A5" s="4" t="s">
        <v>59</v>
      </c>
      <c r="B5" s="6" t="s">
        <v>62</v>
      </c>
    </row>
    <row r="6" spans="1:7" s="5" customFormat="1" x14ac:dyDescent="0.3">
      <c r="C6" s="10"/>
    </row>
    <row r="7" spans="1:7" s="12" customFormat="1" ht="23.4" x14ac:dyDescent="0.45">
      <c r="A7" s="12" t="s">
        <v>43</v>
      </c>
    </row>
    <row r="8" spans="1:7" x14ac:dyDescent="0.3">
      <c r="A8" s="3" t="s">
        <v>44</v>
      </c>
    </row>
    <row r="9" spans="1:7" x14ac:dyDescent="0.3">
      <c r="B9" s="3" t="s">
        <v>27</v>
      </c>
      <c r="C9" s="7">
        <f>IFERROR(VLOOKUP($B$1, 'Vehicle Options'!A:H, 4), "")</f>
        <v>2024</v>
      </c>
    </row>
    <row r="10" spans="1:7" x14ac:dyDescent="0.3">
      <c r="B10" s="3" t="s">
        <v>25</v>
      </c>
      <c r="C10" s="7" t="str">
        <f>IFERROR(VLOOKUP($B$1, 'Vehicle Options'!A:H, 2), "")</f>
        <v>Mazda</v>
      </c>
    </row>
    <row r="11" spans="1:7" x14ac:dyDescent="0.3">
      <c r="B11" s="3" t="s">
        <v>26</v>
      </c>
      <c r="C11" s="7" t="str">
        <f>IFERROR(VLOOKUP($B$1, 'Vehicle Options'!A:H, 3), "")</f>
        <v>MX-5 Miata</v>
      </c>
    </row>
    <row r="12" spans="1:7" x14ac:dyDescent="0.3">
      <c r="B12" s="3" t="s">
        <v>13</v>
      </c>
      <c r="C12" s="7">
        <f>IFERROR(VLOOKUP($B$1, 'Vehicle Options'!A:H, 5), "")</f>
        <v>2368</v>
      </c>
    </row>
    <row r="13" spans="1:7" x14ac:dyDescent="0.3">
      <c r="B13" s="3" t="s">
        <v>33</v>
      </c>
      <c r="C13" s="7" t="str">
        <f>IFERROR(VLOOKUP($B$1, 'Vehicle Options'!A:H, 6), "")</f>
        <v>RWD</v>
      </c>
      <c r="G13" s="7"/>
    </row>
    <row r="14" spans="1:7" x14ac:dyDescent="0.3">
      <c r="B14" s="3" t="s">
        <v>34</v>
      </c>
      <c r="C14" s="7">
        <f>IFERROR(VLOOKUP($B$1, 'Vehicle Options'!A:H, 7), "")</f>
        <v>23.7</v>
      </c>
    </row>
    <row r="16" spans="1:7" x14ac:dyDescent="0.3">
      <c r="A16" s="3" t="s">
        <v>49</v>
      </c>
    </row>
    <row r="17" spans="1:3" x14ac:dyDescent="0.3">
      <c r="B17" s="3" t="s">
        <v>55</v>
      </c>
      <c r="C17" s="7" t="str" cm="1">
        <f t="array" ref="C17">IFERROR(_xlfn.IFS(B2&lt;&gt;0,B2), "")</f>
        <v>Motor 5</v>
      </c>
    </row>
    <row r="18" spans="1:3" x14ac:dyDescent="0.3">
      <c r="B18" s="3" t="s">
        <v>3</v>
      </c>
      <c r="C18" s="7">
        <f>IFERROR(VLOOKUP(B2, 'Motor Options'!A:D, 2, FALSE), "")</f>
        <v>600</v>
      </c>
    </row>
    <row r="19" spans="1:3" x14ac:dyDescent="0.3">
      <c r="B19" s="3" t="s">
        <v>1</v>
      </c>
      <c r="C19" s="7">
        <f>IFERROR(VLOOKUP(B2, 'Motor Options'!A:D, 3, FALSE), "")</f>
        <v>5000</v>
      </c>
    </row>
    <row r="20" spans="1:3" x14ac:dyDescent="0.3">
      <c r="B20" s="3" t="s">
        <v>53</v>
      </c>
      <c r="C20" s="7">
        <f>IFERROR(VLOOKUP(B2, 'Motor Options'!A:D, 4, FALSE), "")</f>
        <v>10000</v>
      </c>
    </row>
    <row r="22" spans="1:3" x14ac:dyDescent="0.3">
      <c r="A22" s="3" t="s">
        <v>54</v>
      </c>
    </row>
    <row r="23" spans="1:3" x14ac:dyDescent="0.3">
      <c r="B23" s="3" t="s">
        <v>56</v>
      </c>
      <c r="C23" s="7" t="str" cm="1">
        <f t="array" ref="C23">IFERROR(_xlfn.IFS(B3&lt;&gt;0,B3), "")</f>
        <v>Battery 3</v>
      </c>
    </row>
    <row r="24" spans="1:3" x14ac:dyDescent="0.3">
      <c r="B24" s="3" t="s">
        <v>10</v>
      </c>
      <c r="C24" s="7">
        <f>IFERROR(VLOOKUP($B$3, 'Battery Pack Options'!A:F, 2, FALSE), "")</f>
        <v>330</v>
      </c>
    </row>
    <row r="25" spans="1:3" x14ac:dyDescent="0.3">
      <c r="B25" s="3" t="s">
        <v>89</v>
      </c>
      <c r="C25" s="7">
        <f>IFERROR(VLOOKUP($B$3, 'Battery Pack Options'!A:F, 3, FALSE), "")</f>
        <v>150</v>
      </c>
    </row>
    <row r="26" spans="1:3" x14ac:dyDescent="0.3">
      <c r="B26" s="3" t="s">
        <v>12</v>
      </c>
      <c r="C26" s="7">
        <f>IFERROR(VLOOKUP($B$3, 'Battery Pack Options'!A:F, 4, FALSE), "")</f>
        <v>400</v>
      </c>
    </row>
    <row r="27" spans="1:3" x14ac:dyDescent="0.3">
      <c r="B27" s="3" t="s">
        <v>13</v>
      </c>
      <c r="C27" s="7">
        <f>IFERROR(VLOOKUP($B$3, 'Battery Pack Options'!A:F, 5, FALSE), "")</f>
        <v>3000</v>
      </c>
    </row>
    <row r="28" spans="1:3" x14ac:dyDescent="0.3">
      <c r="B28" s="3" t="s">
        <v>14</v>
      </c>
      <c r="C28" s="7">
        <f>IFERROR(VLOOKUP($B$3, 'Battery Pack Options'!A:F, 6, FALSE), "")</f>
        <v>30000</v>
      </c>
    </row>
    <row r="30" spans="1:3" x14ac:dyDescent="0.3">
      <c r="A30" s="3" t="s">
        <v>57</v>
      </c>
    </row>
    <row r="31" spans="1:3" x14ac:dyDescent="0.3">
      <c r="B31" s="3" t="s">
        <v>58</v>
      </c>
      <c r="C31" s="7" t="str" cm="1">
        <f t="array" ref="C31">IFERROR(_xlfn.IFS(B4&lt;&gt;0,B4), "")</f>
        <v>Gearbox 1</v>
      </c>
    </row>
    <row r="32" spans="1:3" x14ac:dyDescent="0.3">
      <c r="B32" s="3" t="s">
        <v>41</v>
      </c>
      <c r="C32" s="7">
        <f>IFERROR(VLOOKUP(B4, 'Gearbox Options'!A:B, 2, FALSE), "")</f>
        <v>7</v>
      </c>
    </row>
    <row r="34" spans="1:3" x14ac:dyDescent="0.3">
      <c r="A34" s="3" t="s">
        <v>63</v>
      </c>
    </row>
    <row r="35" spans="1:3" x14ac:dyDescent="0.3">
      <c r="B35" s="3" t="s">
        <v>64</v>
      </c>
      <c r="C35" s="7" t="str" cm="1">
        <f t="array" ref="C35">IFERROR(_xlfn.IFS(B5&lt;&gt;0,B5), "")</f>
        <v>Dry</v>
      </c>
    </row>
    <row r="36" spans="1:3" x14ac:dyDescent="0.3">
      <c r="B36" s="3" t="s">
        <v>65</v>
      </c>
      <c r="C36" s="7">
        <f>IFERROR(VLOOKUP(B5, 'Weather (Friction Coefficient)'!A:B, 2, FALSE), "")</f>
        <v>0.7</v>
      </c>
    </row>
    <row r="37" spans="1:3" s="8" customFormat="1" x14ac:dyDescent="0.3">
      <c r="C37" s="11"/>
    </row>
    <row r="38" spans="1:3" s="12" customFormat="1" ht="23.4" x14ac:dyDescent="0.45">
      <c r="A38" s="12" t="s">
        <v>107</v>
      </c>
    </row>
    <row r="39" spans="1:3" x14ac:dyDescent="0.3">
      <c r="A39" s="3" t="s">
        <v>66</v>
      </c>
    </row>
    <row r="40" spans="1:3" x14ac:dyDescent="0.3">
      <c r="B40" s="3" t="s">
        <v>67</v>
      </c>
      <c r="C40" s="7">
        <f>C12*0.453592</f>
        <v>1074.1058559999999</v>
      </c>
    </row>
    <row r="41" spans="1:3" x14ac:dyDescent="0.3">
      <c r="B41" s="3" t="s">
        <v>68</v>
      </c>
      <c r="C41" s="7">
        <f>C27*0.453592</f>
        <v>1360.7760000000001</v>
      </c>
    </row>
    <row r="42" spans="1:3" x14ac:dyDescent="0.3">
      <c r="B42" s="3" t="s">
        <v>69</v>
      </c>
      <c r="C42" s="7">
        <f>SUM(C40:C41)</f>
        <v>2434.881856</v>
      </c>
    </row>
    <row r="44" spans="1:3" x14ac:dyDescent="0.3">
      <c r="B44" s="3" t="s">
        <v>70</v>
      </c>
      <c r="C44" s="7">
        <f>C42*9.81</f>
        <v>23886.191007360001</v>
      </c>
    </row>
    <row r="45" spans="1:3" x14ac:dyDescent="0.3">
      <c r="B45" s="3" t="s">
        <v>71</v>
      </c>
      <c r="C45" s="7">
        <f>IF(C13 = "AWD", (C44*C36), (C44*C36)/2)</f>
        <v>8360.1668525759997</v>
      </c>
    </row>
    <row r="47" spans="1:3" x14ac:dyDescent="0.3">
      <c r="A47" s="3" t="s">
        <v>72</v>
      </c>
    </row>
    <row r="48" spans="1:3" x14ac:dyDescent="0.3">
      <c r="B48" s="3" t="s">
        <v>73</v>
      </c>
      <c r="C48" s="7">
        <f>(C14/2)*0.0254</f>
        <v>0.30098999999999998</v>
      </c>
    </row>
    <row r="49" spans="1:3" x14ac:dyDescent="0.3">
      <c r="B49" s="3" t="s">
        <v>74</v>
      </c>
      <c r="C49" s="7">
        <f>(C45*C48)/C32</f>
        <v>359.47523156526432</v>
      </c>
    </row>
    <row r="50" spans="1:3" x14ac:dyDescent="0.3">
      <c r="B50" s="3" t="s">
        <v>75</v>
      </c>
      <c r="C50" s="7">
        <f>(C45/2)*C48</f>
        <v>1258.163310478425</v>
      </c>
    </row>
    <row r="52" spans="1:3" x14ac:dyDescent="0.3">
      <c r="A52" s="3" t="s">
        <v>76</v>
      </c>
    </row>
    <row r="53" spans="1:3" x14ac:dyDescent="0.3">
      <c r="B53" s="3" t="s">
        <v>77</v>
      </c>
      <c r="C53" s="7">
        <f>IF((C20-(C49*C19)/C18)&lt;0, "ERROR", (C20-(C49*C19)/C18))</f>
        <v>7004.3730702894645</v>
      </c>
    </row>
    <row r="54" spans="1:3" x14ac:dyDescent="0.3">
      <c r="B54" s="3" t="s">
        <v>78</v>
      </c>
      <c r="C54" s="7">
        <f>2*PI()*C48</f>
        <v>1.8911759456079835</v>
      </c>
    </row>
    <row r="55" spans="1:3" x14ac:dyDescent="0.3">
      <c r="B55" s="3" t="s">
        <v>84</v>
      </c>
      <c r="C55" s="7">
        <f>IFERROR(C53/60/C32*C54, "ERROR")</f>
        <v>31.539290153799456</v>
      </c>
    </row>
    <row r="56" spans="1:3" x14ac:dyDescent="0.3">
      <c r="B56" s="3" t="s">
        <v>85</v>
      </c>
      <c r="C56" s="7">
        <f>IFERROR(C55*2.23694, "ERROR")</f>
        <v>70.551499716640166</v>
      </c>
    </row>
    <row r="58" spans="1:3" x14ac:dyDescent="0.3">
      <c r="B58" s="3" t="s">
        <v>108</v>
      </c>
      <c r="C58" s="7" t="str">
        <f>IF(C56&gt;60, "YES", "NO")</f>
        <v>YES</v>
      </c>
    </row>
    <row r="60" spans="1:3" x14ac:dyDescent="0.3">
      <c r="A60" s="3" t="s">
        <v>86</v>
      </c>
    </row>
    <row r="61" spans="1:3" x14ac:dyDescent="0.3">
      <c r="B61" s="3" t="s">
        <v>87</v>
      </c>
      <c r="C61" s="7">
        <f>C26*1000/C24</f>
        <v>1212.121212121212</v>
      </c>
    </row>
    <row r="62" spans="1:3" x14ac:dyDescent="0.3">
      <c r="B62" s="3" t="s">
        <v>88</v>
      </c>
      <c r="C62" s="7">
        <f>C25*1000/C24</f>
        <v>454.54545454545456</v>
      </c>
    </row>
    <row r="63" spans="1:3" x14ac:dyDescent="0.3">
      <c r="B63" s="3" t="s">
        <v>90</v>
      </c>
      <c r="C63" s="7">
        <f>C61/C62</f>
        <v>2.6666666666666665</v>
      </c>
    </row>
    <row r="65" spans="1:3" x14ac:dyDescent="0.3">
      <c r="A65" s="3" t="s">
        <v>94</v>
      </c>
    </row>
    <row r="66" spans="1:3" x14ac:dyDescent="0.3">
      <c r="B66" s="3" t="s">
        <v>93</v>
      </c>
      <c r="C66" s="7">
        <f>C42</f>
        <v>2434.881856</v>
      </c>
    </row>
    <row r="67" spans="1:3" x14ac:dyDescent="0.3">
      <c r="B67" s="3" t="s">
        <v>83</v>
      </c>
      <c r="C67" s="7">
        <f>C45/C66</f>
        <v>3.4335</v>
      </c>
    </row>
    <row r="69" spans="1:3" x14ac:dyDescent="0.3">
      <c r="A69" s="3" t="s">
        <v>113</v>
      </c>
    </row>
    <row r="70" spans="1:3" x14ac:dyDescent="0.3">
      <c r="B70" s="3" t="s">
        <v>93</v>
      </c>
      <c r="C70" s="7">
        <f>C66</f>
        <v>2434.881856</v>
      </c>
    </row>
    <row r="71" spans="1:3" x14ac:dyDescent="0.3">
      <c r="B71" s="3" t="s">
        <v>83</v>
      </c>
      <c r="C71" s="7">
        <f>IF(C13="AWD", (C44/C42), ((C44/2)/C42))</f>
        <v>4.9050000000000002</v>
      </c>
    </row>
    <row r="73" spans="1:3" x14ac:dyDescent="0.3">
      <c r="A73" s="3" t="s">
        <v>79</v>
      </c>
    </row>
    <row r="74" spans="1:3" x14ac:dyDescent="0.3">
      <c r="B74" s="3" t="s">
        <v>82</v>
      </c>
      <c r="C74" s="7">
        <f>C18*C32/C48</f>
        <v>13953.951958536829</v>
      </c>
    </row>
    <row r="75" spans="1:3" x14ac:dyDescent="0.3">
      <c r="B75" s="3" t="s">
        <v>83</v>
      </c>
      <c r="C75" s="7">
        <f>C74/C42</f>
        <v>5.7308538088415695</v>
      </c>
    </row>
    <row r="76" spans="1:3" x14ac:dyDescent="0.3">
      <c r="B76" s="3" t="s">
        <v>81</v>
      </c>
      <c r="C76" s="7">
        <f>IFERROR(C55/C75, "ERROR")</f>
        <v>5.5034190725892529</v>
      </c>
    </row>
    <row r="78" spans="1:3" x14ac:dyDescent="0.3">
      <c r="A78" s="3" t="s">
        <v>92</v>
      </c>
    </row>
    <row r="79" spans="1:3" x14ac:dyDescent="0.3">
      <c r="B79" s="3" t="s">
        <v>80</v>
      </c>
      <c r="C79" s="7">
        <f>IFERROR(0.5*C42*(26.8^2-C55^2)/1000, "ERROR")</f>
        <v>-336.60637486662648</v>
      </c>
    </row>
    <row r="80" spans="1:3" x14ac:dyDescent="0.3">
      <c r="B80" s="3" t="s">
        <v>81</v>
      </c>
      <c r="C80" s="7">
        <f>IFERROR(C79/C26, "ERROR")</f>
        <v>-0.84151593716656625</v>
      </c>
    </row>
    <row r="82" spans="1:3" x14ac:dyDescent="0.3">
      <c r="A82" s="9"/>
    </row>
    <row r="83" spans="1:3" x14ac:dyDescent="0.3">
      <c r="A83" s="3" t="s">
        <v>91</v>
      </c>
    </row>
    <row r="84" spans="1:3" x14ac:dyDescent="0.3">
      <c r="B84" s="3" t="s">
        <v>96</v>
      </c>
      <c r="C84" s="7">
        <f>26.8/C67</f>
        <v>7.8054463375564298</v>
      </c>
    </row>
    <row r="85" spans="1:3" x14ac:dyDescent="0.3">
      <c r="B85" s="3" t="s">
        <v>95</v>
      </c>
      <c r="C85" s="7">
        <f>IFERROR(C76+C80, "ERROR")</f>
        <v>4.661903135422687</v>
      </c>
    </row>
    <row r="86" spans="1:3" x14ac:dyDescent="0.3">
      <c r="B86" s="3" t="s">
        <v>97</v>
      </c>
      <c r="C86" s="7">
        <f>IFERROR(26.8/C85, "ERROR")</f>
        <v>5.7487251925859866</v>
      </c>
    </row>
    <row r="88" spans="1:3" x14ac:dyDescent="0.3">
      <c r="A88" s="3" t="s">
        <v>98</v>
      </c>
    </row>
    <row r="89" spans="1:3" x14ac:dyDescent="0.3">
      <c r="B89" s="3" t="s">
        <v>83</v>
      </c>
      <c r="C89" s="7">
        <f>C86</f>
        <v>5.7487251925859866</v>
      </c>
    </row>
    <row r="90" spans="1:3" x14ac:dyDescent="0.3">
      <c r="B90" s="3" t="s">
        <v>99</v>
      </c>
      <c r="C90" s="7">
        <f>26.8/C54*60</f>
        <v>850.2646217208802</v>
      </c>
    </row>
    <row r="91" spans="1:3" x14ac:dyDescent="0.3">
      <c r="B91" s="3" t="s">
        <v>100</v>
      </c>
      <c r="C91" s="7">
        <f>0.5*C42*26.8^2</f>
        <v>874414.77212672005</v>
      </c>
    </row>
    <row r="92" spans="1:3" x14ac:dyDescent="0.3">
      <c r="B92" s="3" t="s">
        <v>102</v>
      </c>
      <c r="C92" s="7">
        <f>IFERROR(C91/C85/1000, "ERROR")</f>
        <v>187.56605333187352</v>
      </c>
    </row>
    <row r="94" spans="1:3" x14ac:dyDescent="0.3">
      <c r="B94" s="3" t="s">
        <v>101</v>
      </c>
      <c r="C94" s="7">
        <f>IFERROR(C92/C24*1000, "ERROR")</f>
        <v>568.38197979355607</v>
      </c>
    </row>
    <row r="96" spans="1:3" x14ac:dyDescent="0.3">
      <c r="A96" s="3" t="s">
        <v>103</v>
      </c>
    </row>
    <row r="97" spans="1:3" x14ac:dyDescent="0.3">
      <c r="B97" s="3" t="s">
        <v>82</v>
      </c>
      <c r="C97" s="7">
        <f>IFERROR(C42*C89, "ERROR")</f>
        <v>13997.466666557724</v>
      </c>
    </row>
    <row r="98" spans="1:3" x14ac:dyDescent="0.3">
      <c r="B98" s="3" t="s">
        <v>104</v>
      </c>
      <c r="C98" s="7">
        <f>IFERROR(C97*C48, "ERROR")</f>
        <v>4213.097491967209</v>
      </c>
    </row>
    <row r="99" spans="1:3" x14ac:dyDescent="0.3">
      <c r="B99" s="3" t="s">
        <v>105</v>
      </c>
      <c r="C99" s="7">
        <f>IFERROR(C98/C32, "ERROR")</f>
        <v>601.8710702810298</v>
      </c>
    </row>
    <row r="100" spans="1:3" s="8" customFormat="1" x14ac:dyDescent="0.3">
      <c r="C100" s="11"/>
    </row>
    <row r="101" spans="1:3" s="12" customFormat="1" ht="23.4" x14ac:dyDescent="0.45">
      <c r="A101" s="12" t="s">
        <v>106</v>
      </c>
    </row>
    <row r="102" spans="1:3" x14ac:dyDescent="0.3">
      <c r="A102" s="3" t="s">
        <v>109</v>
      </c>
    </row>
    <row r="103" spans="1:3" x14ac:dyDescent="0.3">
      <c r="B103" s="3" t="s">
        <v>110</v>
      </c>
      <c r="C103" s="7">
        <f>IF(C13="AWD", 26.8/(C44/C42), 26.8/((C44/2)/C42))</f>
        <v>5.4638124362895004</v>
      </c>
    </row>
    <row r="104" spans="1:3" x14ac:dyDescent="0.3">
      <c r="B104" s="3" t="s">
        <v>111</v>
      </c>
      <c r="C104" s="7">
        <f>IF(C58="NO", C85, C84)</f>
        <v>7.8054463375564298</v>
      </c>
    </row>
    <row r="106" spans="1:3" x14ac:dyDescent="0.3">
      <c r="A106" s="3" t="s">
        <v>112</v>
      </c>
      <c r="B106" s="3" t="str">
        <f>IF(C45&lt;C97, "YES", "NO")</f>
        <v>YES</v>
      </c>
    </row>
    <row r="108" spans="1:3" x14ac:dyDescent="0.3">
      <c r="A108" s="3" t="s">
        <v>114</v>
      </c>
    </row>
    <row r="109" spans="1:3" x14ac:dyDescent="0.3">
      <c r="B109" s="3" t="s">
        <v>102</v>
      </c>
      <c r="C109" s="7">
        <f>C92</f>
        <v>187.56605333187352</v>
      </c>
    </row>
    <row r="110" spans="1:3" x14ac:dyDescent="0.3">
      <c r="B110" s="3" t="s">
        <v>116</v>
      </c>
      <c r="C110" s="7">
        <f>C94</f>
        <v>568.38197979355607</v>
      </c>
    </row>
    <row r="112" spans="1:3" x14ac:dyDescent="0.3">
      <c r="A112" s="3" t="s">
        <v>115</v>
      </c>
      <c r="B112" s="3">
        <f>C56</f>
        <v>70.551499716640166</v>
      </c>
    </row>
  </sheetData>
  <mergeCells count="3">
    <mergeCell ref="A38:XFD38"/>
    <mergeCell ref="A7:XFD7"/>
    <mergeCell ref="A101:XFD101"/>
  </mergeCells>
  <conditionalFormatting sqref="C1:C1048576">
    <cfRule type="containsText" dxfId="2" priority="1" operator="containsText" text="ERROR">
      <formula>NOT(ISERROR(SEARCH("ERROR",C1)))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E23915D-0CB1-498D-AAA4-4EACE7FD8149}">
          <x14:formula1>
            <xm:f>'Vehicle Options'!$A$2:$A$1048576</xm:f>
          </x14:formula1>
          <xm:sqref>B1</xm:sqref>
        </x14:dataValidation>
        <x14:dataValidation type="list" allowBlank="1" showInputMessage="1" showErrorMessage="1" xr:uid="{3993F13F-2945-4C3D-A9DB-F1B428E7056F}">
          <x14:formula1>
            <xm:f>'Motor Options'!$A$2:$A$1048576</xm:f>
          </x14:formula1>
          <xm:sqref>B2</xm:sqref>
        </x14:dataValidation>
        <x14:dataValidation type="list" allowBlank="1" showInputMessage="1" showErrorMessage="1" xr:uid="{EC3D2FE9-7D8C-4265-8A9C-267543B21E35}">
          <x14:formula1>
            <xm:f>'Battery Pack Options'!$A$2:$A$1048576</xm:f>
          </x14:formula1>
          <xm:sqref>B3</xm:sqref>
        </x14:dataValidation>
        <x14:dataValidation type="list" allowBlank="1" showInputMessage="1" showErrorMessage="1" xr:uid="{ABBE4168-A844-4915-A2D3-3110C8592353}">
          <x14:formula1>
            <xm:f>'Gearbox Options'!$A$2:$A$1048576</xm:f>
          </x14:formula1>
          <xm:sqref>B4</xm:sqref>
        </x14:dataValidation>
        <x14:dataValidation type="list" allowBlank="1" showInputMessage="1" showErrorMessage="1" xr:uid="{36B00BAD-3123-4AB9-BFD0-75BBADB5D532}">
          <x14:formula1>
            <xm:f>'Weather (Friction Coefficient)'!$A$2:$A$1048576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8C8F2-30DF-4E7D-A4A1-36C8D0A17275}">
  <dimension ref="A1:G112"/>
  <sheetViews>
    <sheetView workbookViewId="0">
      <selection activeCell="B106" sqref="B106"/>
    </sheetView>
  </sheetViews>
  <sheetFormatPr defaultRowHeight="14.4" x14ac:dyDescent="0.3"/>
  <cols>
    <col min="1" max="1" width="28.44140625" style="3" bestFit="1" customWidth="1"/>
    <col min="2" max="2" width="28.6640625" style="3" bestFit="1" customWidth="1"/>
    <col min="3" max="3" width="18.77734375" style="7" customWidth="1"/>
    <col min="4" max="16384" width="8.88671875" style="3"/>
  </cols>
  <sheetData>
    <row r="1" spans="1:7" ht="15.6" x14ac:dyDescent="0.3">
      <c r="A1" s="4" t="s">
        <v>42</v>
      </c>
      <c r="B1" s="6" t="s">
        <v>23</v>
      </c>
    </row>
    <row r="2" spans="1:7" ht="15.6" x14ac:dyDescent="0.3">
      <c r="A2" s="4" t="s">
        <v>50</v>
      </c>
      <c r="B2" s="6" t="s">
        <v>6</v>
      </c>
    </row>
    <row r="3" spans="1:7" ht="15.6" x14ac:dyDescent="0.3">
      <c r="A3" s="4" t="s">
        <v>51</v>
      </c>
      <c r="B3" s="6" t="s">
        <v>16</v>
      </c>
    </row>
    <row r="4" spans="1:7" ht="15.6" x14ac:dyDescent="0.3">
      <c r="A4" s="4" t="s">
        <v>52</v>
      </c>
      <c r="B4" s="6" t="s">
        <v>19</v>
      </c>
    </row>
    <row r="5" spans="1:7" ht="15.6" x14ac:dyDescent="0.3">
      <c r="A5" s="4" t="s">
        <v>59</v>
      </c>
      <c r="B5" s="6" t="s">
        <v>62</v>
      </c>
    </row>
    <row r="6" spans="1:7" s="5" customFormat="1" x14ac:dyDescent="0.3">
      <c r="C6" s="10"/>
    </row>
    <row r="7" spans="1:7" s="12" customFormat="1" ht="23.4" x14ac:dyDescent="0.45">
      <c r="A7" s="12" t="s">
        <v>43</v>
      </c>
    </row>
    <row r="8" spans="1:7" x14ac:dyDescent="0.3">
      <c r="A8" s="3" t="s">
        <v>44</v>
      </c>
    </row>
    <row r="9" spans="1:7" x14ac:dyDescent="0.3">
      <c r="B9" s="3" t="s">
        <v>27</v>
      </c>
      <c r="C9" s="7">
        <f>IFERROR(VLOOKUP($B$1, 'Vehicle Options'!A:H, 4), "")</f>
        <v>2024</v>
      </c>
    </row>
    <row r="10" spans="1:7" x14ac:dyDescent="0.3">
      <c r="B10" s="3" t="s">
        <v>25</v>
      </c>
      <c r="C10" s="7" t="str">
        <f>IFERROR(VLOOKUP($B$1, 'Vehicle Options'!A:H, 2), "")</f>
        <v>Toyota</v>
      </c>
    </row>
    <row r="11" spans="1:7" x14ac:dyDescent="0.3">
      <c r="B11" s="3" t="s">
        <v>26</v>
      </c>
      <c r="C11" s="7" t="str">
        <f>IFERROR(VLOOKUP($B$1, 'Vehicle Options'!A:H, 3), "")</f>
        <v>Camry</v>
      </c>
    </row>
    <row r="12" spans="1:7" x14ac:dyDescent="0.3">
      <c r="B12" s="3" t="s">
        <v>13</v>
      </c>
      <c r="C12" s="7">
        <f>IFERROR(VLOOKUP($B$1, 'Vehicle Options'!A:H, 5), "")</f>
        <v>3340</v>
      </c>
    </row>
    <row r="13" spans="1:7" x14ac:dyDescent="0.3">
      <c r="B13" s="3" t="s">
        <v>33</v>
      </c>
      <c r="C13" s="7" t="str">
        <f>IFERROR(VLOOKUP($B$1, 'Vehicle Options'!A:H, 6), "")</f>
        <v>FWD</v>
      </c>
      <c r="G13" s="7"/>
    </row>
    <row r="14" spans="1:7" x14ac:dyDescent="0.3">
      <c r="B14" s="3" t="s">
        <v>34</v>
      </c>
      <c r="C14" s="7">
        <f>IFERROR(VLOOKUP($B$1, 'Vehicle Options'!A:H, 7), "")</f>
        <v>26.3</v>
      </c>
    </row>
    <row r="16" spans="1:7" x14ac:dyDescent="0.3">
      <c r="A16" s="3" t="s">
        <v>49</v>
      </c>
    </row>
    <row r="17" spans="1:3" x14ac:dyDescent="0.3">
      <c r="B17" s="3" t="s">
        <v>55</v>
      </c>
      <c r="C17" s="7" t="str" cm="1">
        <f t="array" ref="C17">IFERROR(_xlfn.IFS(B2&lt;&gt;0,B2), "")</f>
        <v>Motor 3</v>
      </c>
    </row>
    <row r="18" spans="1:3" x14ac:dyDescent="0.3">
      <c r="B18" s="3" t="s">
        <v>3</v>
      </c>
      <c r="C18" s="7">
        <f>IFERROR(VLOOKUP(B2, 'Motor Options'!A:D, 2, FALSE), "")</f>
        <v>300</v>
      </c>
    </row>
    <row r="19" spans="1:3" x14ac:dyDescent="0.3">
      <c r="B19" s="3" t="s">
        <v>1</v>
      </c>
      <c r="C19" s="7">
        <f>IFERROR(VLOOKUP(B2, 'Motor Options'!A:D, 3, FALSE), "")</f>
        <v>5000</v>
      </c>
    </row>
    <row r="20" spans="1:3" x14ac:dyDescent="0.3">
      <c r="B20" s="3" t="s">
        <v>53</v>
      </c>
      <c r="C20" s="7">
        <f>IFERROR(VLOOKUP(B2, 'Motor Options'!A:D, 4, FALSE), "")</f>
        <v>10000</v>
      </c>
    </row>
    <row r="22" spans="1:3" x14ac:dyDescent="0.3">
      <c r="A22" s="3" t="s">
        <v>54</v>
      </c>
    </row>
    <row r="23" spans="1:3" x14ac:dyDescent="0.3">
      <c r="B23" s="3" t="s">
        <v>56</v>
      </c>
      <c r="C23" s="7" t="str" cm="1">
        <f t="array" ref="C23">IFERROR(_xlfn.IFS(B3&lt;&gt;0,B3), "")</f>
        <v>Battery 2</v>
      </c>
    </row>
    <row r="24" spans="1:3" x14ac:dyDescent="0.3">
      <c r="B24" s="3" t="s">
        <v>10</v>
      </c>
      <c r="C24" s="7">
        <f>IFERROR(VLOOKUP($B$3, 'Battery Pack Options'!A:F, 2, FALSE), "")</f>
        <v>330</v>
      </c>
    </row>
    <row r="25" spans="1:3" x14ac:dyDescent="0.3">
      <c r="B25" s="3" t="s">
        <v>89</v>
      </c>
      <c r="C25" s="7">
        <f>IFERROR(VLOOKUP($B$3, 'Battery Pack Options'!A:F, 3, FALSE), "")</f>
        <v>100</v>
      </c>
    </row>
    <row r="26" spans="1:3" x14ac:dyDescent="0.3">
      <c r="B26" s="3" t="s">
        <v>12</v>
      </c>
      <c r="C26" s="7">
        <f>IFERROR(VLOOKUP($B$3, 'Battery Pack Options'!A:F, 4, FALSE), "")</f>
        <v>300</v>
      </c>
    </row>
    <row r="27" spans="1:3" x14ac:dyDescent="0.3">
      <c r="B27" s="3" t="s">
        <v>13</v>
      </c>
      <c r="C27" s="7">
        <f>IFERROR(VLOOKUP($B$3, 'Battery Pack Options'!A:F, 5, FALSE), "")</f>
        <v>2000</v>
      </c>
    </row>
    <row r="28" spans="1:3" x14ac:dyDescent="0.3">
      <c r="B28" s="3" t="s">
        <v>14</v>
      </c>
      <c r="C28" s="7">
        <f>IFERROR(VLOOKUP($B$3, 'Battery Pack Options'!A:F, 6, FALSE), "")</f>
        <v>20000</v>
      </c>
    </row>
    <row r="30" spans="1:3" x14ac:dyDescent="0.3">
      <c r="A30" s="3" t="s">
        <v>57</v>
      </c>
    </row>
    <row r="31" spans="1:3" x14ac:dyDescent="0.3">
      <c r="B31" s="3" t="s">
        <v>58</v>
      </c>
      <c r="C31" s="7" t="str" cm="1">
        <f t="array" ref="C31">IFERROR(_xlfn.IFS(B4&lt;&gt;0,B4), "")</f>
        <v>Gearbox 1</v>
      </c>
    </row>
    <row r="32" spans="1:3" x14ac:dyDescent="0.3">
      <c r="B32" s="3" t="s">
        <v>41</v>
      </c>
      <c r="C32" s="7">
        <f>IFERROR(VLOOKUP(B4, 'Gearbox Options'!A:B, 2, FALSE), "")</f>
        <v>7</v>
      </c>
    </row>
    <row r="34" spans="1:3" x14ac:dyDescent="0.3">
      <c r="A34" s="3" t="s">
        <v>63</v>
      </c>
    </row>
    <row r="35" spans="1:3" x14ac:dyDescent="0.3">
      <c r="B35" s="3" t="s">
        <v>64</v>
      </c>
      <c r="C35" s="7" t="str" cm="1">
        <f t="array" ref="C35">IFERROR(_xlfn.IFS(B5&lt;&gt;0,B5), "")</f>
        <v>Dry</v>
      </c>
    </row>
    <row r="36" spans="1:3" x14ac:dyDescent="0.3">
      <c r="B36" s="3" t="s">
        <v>65</v>
      </c>
      <c r="C36" s="7">
        <f>IFERROR(VLOOKUP(B5, 'Weather (Friction Coefficient)'!A:B, 2, FALSE), "")</f>
        <v>0.7</v>
      </c>
    </row>
    <row r="37" spans="1:3" s="8" customFormat="1" x14ac:dyDescent="0.3">
      <c r="C37" s="11"/>
    </row>
    <row r="38" spans="1:3" s="12" customFormat="1" ht="23.4" x14ac:dyDescent="0.45">
      <c r="A38" s="12" t="s">
        <v>107</v>
      </c>
    </row>
    <row r="39" spans="1:3" x14ac:dyDescent="0.3">
      <c r="A39" s="3" t="s">
        <v>66</v>
      </c>
    </row>
    <row r="40" spans="1:3" x14ac:dyDescent="0.3">
      <c r="B40" s="3" t="s">
        <v>67</v>
      </c>
      <c r="C40" s="7">
        <f>C12*0.453592</f>
        <v>1514.99728</v>
      </c>
    </row>
    <row r="41" spans="1:3" x14ac:dyDescent="0.3">
      <c r="B41" s="3" t="s">
        <v>68</v>
      </c>
      <c r="C41" s="7">
        <f>C27*0.453592</f>
        <v>907.18399999999997</v>
      </c>
    </row>
    <row r="42" spans="1:3" x14ac:dyDescent="0.3">
      <c r="B42" s="3" t="s">
        <v>69</v>
      </c>
      <c r="C42" s="7">
        <f>SUM(C40:C41)</f>
        <v>2422.1812799999998</v>
      </c>
    </row>
    <row r="44" spans="1:3" x14ac:dyDescent="0.3">
      <c r="B44" s="3" t="s">
        <v>70</v>
      </c>
      <c r="C44" s="7">
        <f>C42*9.81</f>
        <v>23761.598356799997</v>
      </c>
    </row>
    <row r="45" spans="1:3" x14ac:dyDescent="0.3">
      <c r="B45" s="3" t="s">
        <v>71</v>
      </c>
      <c r="C45" s="7">
        <f>IF(C13 = "AWD", (C44*C36), (C44*C36)/2)</f>
        <v>8316.5594248799989</v>
      </c>
    </row>
    <row r="47" spans="1:3" x14ac:dyDescent="0.3">
      <c r="A47" s="3" t="s">
        <v>72</v>
      </c>
    </row>
    <row r="48" spans="1:3" x14ac:dyDescent="0.3">
      <c r="B48" s="3" t="s">
        <v>73</v>
      </c>
      <c r="C48" s="7">
        <f>(C14/2)*0.0254</f>
        <v>0.33400999999999997</v>
      </c>
    </row>
    <row r="49" spans="1:3" x14ac:dyDescent="0.3">
      <c r="B49" s="3" t="s">
        <v>74</v>
      </c>
      <c r="C49" s="7">
        <f>(C45*C48)/C32</f>
        <v>396.83057335773827</v>
      </c>
    </row>
    <row r="50" spans="1:3" x14ac:dyDescent="0.3">
      <c r="B50" s="3" t="s">
        <v>75</v>
      </c>
      <c r="C50" s="7">
        <f>(C45/2)*C48</f>
        <v>1388.907006752084</v>
      </c>
    </row>
    <row r="52" spans="1:3" x14ac:dyDescent="0.3">
      <c r="A52" s="3" t="s">
        <v>76</v>
      </c>
    </row>
    <row r="53" spans="1:3" x14ac:dyDescent="0.3">
      <c r="B53" s="3" t="s">
        <v>77</v>
      </c>
      <c r="C53" s="7">
        <f>IF((C20-(C49*C19)/C18)&lt;0, "ERROR", (C20-(C49*C19)/C18))</f>
        <v>3386.1571107043619</v>
      </c>
    </row>
    <row r="54" spans="1:3" x14ac:dyDescent="0.3">
      <c r="B54" s="3" t="s">
        <v>78</v>
      </c>
      <c r="C54" s="7">
        <f>2*PI()*C48</f>
        <v>2.0986467244510534</v>
      </c>
    </row>
    <row r="55" spans="1:3" x14ac:dyDescent="0.3">
      <c r="B55" s="3" t="s">
        <v>84</v>
      </c>
      <c r="C55" s="7">
        <f>IFERROR(C53/60/C32*C54, "ERROR")</f>
        <v>16.919875068705601</v>
      </c>
    </row>
    <row r="56" spans="1:3" x14ac:dyDescent="0.3">
      <c r="B56" s="3" t="s">
        <v>85</v>
      </c>
      <c r="C56" s="7">
        <f>IFERROR(C55*2.23694, "ERROR")</f>
        <v>37.848745336190312</v>
      </c>
    </row>
    <row r="58" spans="1:3" x14ac:dyDescent="0.3">
      <c r="B58" s="3" t="s">
        <v>108</v>
      </c>
      <c r="C58" s="7" t="str">
        <f>IF(C56&gt;60, "YES", "NO")</f>
        <v>NO</v>
      </c>
    </row>
    <row r="60" spans="1:3" x14ac:dyDescent="0.3">
      <c r="A60" s="3" t="s">
        <v>86</v>
      </c>
    </row>
    <row r="61" spans="1:3" x14ac:dyDescent="0.3">
      <c r="B61" s="3" t="s">
        <v>87</v>
      </c>
      <c r="C61" s="7">
        <f>C26*1000/C24</f>
        <v>909.09090909090912</v>
      </c>
    </row>
    <row r="62" spans="1:3" x14ac:dyDescent="0.3">
      <c r="B62" s="3" t="s">
        <v>88</v>
      </c>
      <c r="C62" s="7">
        <f>C25*1000/C24</f>
        <v>303.030303030303</v>
      </c>
    </row>
    <row r="63" spans="1:3" x14ac:dyDescent="0.3">
      <c r="B63" s="3" t="s">
        <v>90</v>
      </c>
      <c r="C63" s="7">
        <f>C61/C62</f>
        <v>3.0000000000000004</v>
      </c>
    </row>
    <row r="65" spans="1:3" x14ac:dyDescent="0.3">
      <c r="A65" s="3" t="s">
        <v>94</v>
      </c>
    </row>
    <row r="66" spans="1:3" x14ac:dyDescent="0.3">
      <c r="B66" s="3" t="s">
        <v>93</v>
      </c>
      <c r="C66" s="7">
        <f>C42</f>
        <v>2422.1812799999998</v>
      </c>
    </row>
    <row r="67" spans="1:3" x14ac:dyDescent="0.3">
      <c r="B67" s="3" t="s">
        <v>83</v>
      </c>
      <c r="C67" s="7">
        <f>C45/C66</f>
        <v>3.4335</v>
      </c>
    </row>
    <row r="69" spans="1:3" x14ac:dyDescent="0.3">
      <c r="A69" s="3" t="s">
        <v>113</v>
      </c>
    </row>
    <row r="70" spans="1:3" x14ac:dyDescent="0.3">
      <c r="B70" s="3" t="s">
        <v>93</v>
      </c>
      <c r="C70" s="7">
        <f>C66</f>
        <v>2422.1812799999998</v>
      </c>
    </row>
    <row r="71" spans="1:3" x14ac:dyDescent="0.3">
      <c r="B71" s="3" t="s">
        <v>83</v>
      </c>
      <c r="C71" s="7">
        <f>IF(C13="AWD", (C44/C42), ((C44/2)/C42))</f>
        <v>4.9050000000000002</v>
      </c>
    </row>
    <row r="73" spans="1:3" x14ac:dyDescent="0.3">
      <c r="A73" s="3" t="s">
        <v>79</v>
      </c>
    </row>
    <row r="74" spans="1:3" x14ac:dyDescent="0.3">
      <c r="B74" s="3" t="s">
        <v>82</v>
      </c>
      <c r="C74" s="7">
        <f>C18*C32/C48</f>
        <v>6287.2369090745788</v>
      </c>
    </row>
    <row r="75" spans="1:3" x14ac:dyDescent="0.3">
      <c r="B75" s="3" t="s">
        <v>83</v>
      </c>
      <c r="C75" s="7">
        <f>C74/C42</f>
        <v>2.595692139555541</v>
      </c>
    </row>
    <row r="76" spans="1:3" x14ac:dyDescent="0.3">
      <c r="B76" s="3" t="s">
        <v>81</v>
      </c>
      <c r="C76" s="7">
        <f>IFERROR(C55/C75, "ERROR")</f>
        <v>6.5184444683809009</v>
      </c>
    </row>
    <row r="78" spans="1:3" x14ac:dyDescent="0.3">
      <c r="A78" s="3" t="s">
        <v>92</v>
      </c>
    </row>
    <row r="79" spans="1:3" x14ac:dyDescent="0.3">
      <c r="B79" s="3" t="s">
        <v>80</v>
      </c>
      <c r="C79" s="7">
        <f>IFERROR(0.5*C42*(26.8^2-C55^2)/1000, "ERROR")</f>
        <v>523.14008195302586</v>
      </c>
    </row>
    <row r="80" spans="1:3" x14ac:dyDescent="0.3">
      <c r="B80" s="3" t="s">
        <v>81</v>
      </c>
      <c r="C80" s="7">
        <f>IFERROR(C79/C26, "ERROR")</f>
        <v>1.7438002731767528</v>
      </c>
    </row>
    <row r="82" spans="1:3" x14ac:dyDescent="0.3">
      <c r="A82" s="9"/>
    </row>
    <row r="83" spans="1:3" x14ac:dyDescent="0.3">
      <c r="A83" s="3" t="s">
        <v>91</v>
      </c>
    </row>
    <row r="84" spans="1:3" x14ac:dyDescent="0.3">
      <c r="B84" s="3" t="s">
        <v>96</v>
      </c>
      <c r="C84" s="7">
        <f>26.8/C67</f>
        <v>7.8054463375564298</v>
      </c>
    </row>
    <row r="85" spans="1:3" x14ac:dyDescent="0.3">
      <c r="B85" s="3" t="s">
        <v>95</v>
      </c>
      <c r="C85" s="7">
        <f>IFERROR(C76+C80, "ERROR")</f>
        <v>8.2622447415576534</v>
      </c>
    </row>
    <row r="86" spans="1:3" x14ac:dyDescent="0.3">
      <c r="B86" s="3" t="s">
        <v>97</v>
      </c>
      <c r="C86" s="7">
        <f>IFERROR(26.8/C85, "ERROR")</f>
        <v>3.2436705566467503</v>
      </c>
    </row>
    <row r="88" spans="1:3" x14ac:dyDescent="0.3">
      <c r="A88" s="3" t="s">
        <v>98</v>
      </c>
    </row>
    <row r="89" spans="1:3" x14ac:dyDescent="0.3">
      <c r="B89" s="3" t="s">
        <v>83</v>
      </c>
      <c r="C89" s="7">
        <f>C86</f>
        <v>3.2436705566467503</v>
      </c>
    </row>
    <row r="90" spans="1:3" x14ac:dyDescent="0.3">
      <c r="B90" s="3" t="s">
        <v>99</v>
      </c>
      <c r="C90" s="7">
        <f>26.8/C54*60</f>
        <v>766.2080431477134</v>
      </c>
    </row>
    <row r="91" spans="1:3" x14ac:dyDescent="0.3">
      <c r="B91" s="3" t="s">
        <v>100</v>
      </c>
      <c r="C91" s="7">
        <f>0.5*C42*26.8^2</f>
        <v>869853.74127359991</v>
      </c>
    </row>
    <row r="92" spans="1:3" x14ac:dyDescent="0.3">
      <c r="B92" s="3" t="s">
        <v>102</v>
      </c>
      <c r="C92" s="7">
        <f>IFERROR(C91/C85/1000, "ERROR")</f>
        <v>105.28055855067896</v>
      </c>
    </row>
    <row r="94" spans="1:3" x14ac:dyDescent="0.3">
      <c r="B94" s="3" t="s">
        <v>101</v>
      </c>
      <c r="C94" s="7">
        <f>IFERROR(C92/C24*1000, "ERROR")</f>
        <v>319.03199560811805</v>
      </c>
    </row>
    <row r="96" spans="1:3" x14ac:dyDescent="0.3">
      <c r="A96" s="3" t="s">
        <v>103</v>
      </c>
    </row>
    <row r="97" spans="1:3" x14ac:dyDescent="0.3">
      <c r="B97" s="3" t="s">
        <v>82</v>
      </c>
      <c r="C97" s="7">
        <f>IFERROR(C42*C89, "ERROR")</f>
        <v>7856.7581007969375</v>
      </c>
    </row>
    <row r="98" spans="1:3" x14ac:dyDescent="0.3">
      <c r="B98" s="3" t="s">
        <v>104</v>
      </c>
      <c r="C98" s="7">
        <f>IFERROR(C97*C48, "ERROR")</f>
        <v>2624.2357732471851</v>
      </c>
    </row>
    <row r="99" spans="1:3" x14ac:dyDescent="0.3">
      <c r="B99" s="3" t="s">
        <v>105</v>
      </c>
      <c r="C99" s="7">
        <f>IFERROR(C98/C32, "ERROR")</f>
        <v>374.89082474959787</v>
      </c>
    </row>
    <row r="100" spans="1:3" s="8" customFormat="1" x14ac:dyDescent="0.3">
      <c r="C100" s="11"/>
    </row>
    <row r="101" spans="1:3" s="12" customFormat="1" ht="23.4" x14ac:dyDescent="0.45">
      <c r="A101" s="12" t="s">
        <v>106</v>
      </c>
    </row>
    <row r="102" spans="1:3" x14ac:dyDescent="0.3">
      <c r="A102" s="3" t="s">
        <v>109</v>
      </c>
    </row>
    <row r="103" spans="1:3" x14ac:dyDescent="0.3">
      <c r="B103" s="3" t="s">
        <v>110</v>
      </c>
      <c r="C103" s="7">
        <f>IF(C13="AWD", 26.8/(C44/C42), 26.8/((C44/2)/C42))</f>
        <v>5.4638124362895004</v>
      </c>
    </row>
    <row r="104" spans="1:3" x14ac:dyDescent="0.3">
      <c r="B104" s="3" t="s">
        <v>111</v>
      </c>
      <c r="C104" s="7">
        <f>IF(C58="NO", C85, C84)</f>
        <v>8.2622447415576534</v>
      </c>
    </row>
    <row r="106" spans="1:3" x14ac:dyDescent="0.3">
      <c r="A106" s="3" t="s">
        <v>112</v>
      </c>
      <c r="B106" s="3" t="str">
        <f>IF(C45&lt;C97, "YES", "NO")</f>
        <v>NO</v>
      </c>
    </row>
    <row r="108" spans="1:3" x14ac:dyDescent="0.3">
      <c r="A108" s="3" t="s">
        <v>114</v>
      </c>
    </row>
    <row r="109" spans="1:3" x14ac:dyDescent="0.3">
      <c r="B109" s="3" t="s">
        <v>102</v>
      </c>
      <c r="C109" s="7">
        <f>C92</f>
        <v>105.28055855067896</v>
      </c>
    </row>
    <row r="110" spans="1:3" x14ac:dyDescent="0.3">
      <c r="B110" s="3" t="s">
        <v>116</v>
      </c>
      <c r="C110" s="7">
        <f>C94</f>
        <v>319.03199560811805</v>
      </c>
    </row>
    <row r="112" spans="1:3" x14ac:dyDescent="0.3">
      <c r="A112" s="3" t="s">
        <v>115</v>
      </c>
      <c r="B112" s="3">
        <f>C56</f>
        <v>37.848745336190312</v>
      </c>
    </row>
  </sheetData>
  <mergeCells count="3">
    <mergeCell ref="A7:XFD7"/>
    <mergeCell ref="A38:XFD38"/>
    <mergeCell ref="A101:XFD101"/>
  </mergeCells>
  <conditionalFormatting sqref="C1:C1048576">
    <cfRule type="containsText" dxfId="1" priority="1" operator="containsText" text="ERROR">
      <formula>NOT(ISERROR(SEARCH("ERROR",C1)))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5C30014-6B4D-45FB-9863-E17DEC7CDCFE}">
          <x14:formula1>
            <xm:f>'Weather (Friction Coefficient)'!$A$2:$A$1048576</xm:f>
          </x14:formula1>
          <xm:sqref>B5</xm:sqref>
        </x14:dataValidation>
        <x14:dataValidation type="list" allowBlank="1" showInputMessage="1" showErrorMessage="1" xr:uid="{59009F20-FE8A-4622-B52E-2D73D2AC814F}">
          <x14:formula1>
            <xm:f>'Gearbox Options'!$A$2:$A$1048576</xm:f>
          </x14:formula1>
          <xm:sqref>B4</xm:sqref>
        </x14:dataValidation>
        <x14:dataValidation type="list" allowBlank="1" showInputMessage="1" showErrorMessage="1" xr:uid="{883C3098-C11F-4F01-B4E8-6AD30DF46919}">
          <x14:formula1>
            <xm:f>'Battery Pack Options'!$A$2:$A$1048576</xm:f>
          </x14:formula1>
          <xm:sqref>B3</xm:sqref>
        </x14:dataValidation>
        <x14:dataValidation type="list" allowBlank="1" showInputMessage="1" showErrorMessage="1" xr:uid="{EC4325DE-CCB9-48F7-BAFF-4D7A9BE275EC}">
          <x14:formula1>
            <xm:f>'Motor Options'!$A$2:$A$1048576</xm:f>
          </x14:formula1>
          <xm:sqref>B2</xm:sqref>
        </x14:dataValidation>
        <x14:dataValidation type="list" allowBlank="1" showInputMessage="1" showErrorMessage="1" xr:uid="{0CF9ACB0-8E9B-4689-B71C-9594EC6E62EB}">
          <x14:formula1>
            <xm:f>'Vehicle Options'!$A$2:$A$1048576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AD53F-6446-4065-B950-0A2DA1C37EB6}">
  <dimension ref="A1:G112"/>
  <sheetViews>
    <sheetView topLeftCell="A89" workbookViewId="0">
      <selection activeCell="B2" sqref="B2"/>
    </sheetView>
  </sheetViews>
  <sheetFormatPr defaultRowHeight="14.4" x14ac:dyDescent="0.3"/>
  <cols>
    <col min="1" max="1" width="28.44140625" style="3" bestFit="1" customWidth="1"/>
    <col min="2" max="2" width="28.6640625" style="3" bestFit="1" customWidth="1"/>
    <col min="3" max="3" width="18.77734375" style="7" customWidth="1"/>
    <col min="4" max="16384" width="8.88671875" style="3"/>
  </cols>
  <sheetData>
    <row r="1" spans="1:7" ht="15.6" x14ac:dyDescent="0.3">
      <c r="A1" s="4" t="s">
        <v>42</v>
      </c>
      <c r="B1" s="6" t="s">
        <v>24</v>
      </c>
    </row>
    <row r="2" spans="1:7" ht="15.6" x14ac:dyDescent="0.3">
      <c r="A2" s="4" t="s">
        <v>50</v>
      </c>
      <c r="B2" s="6" t="s">
        <v>9</v>
      </c>
    </row>
    <row r="3" spans="1:7" ht="15.6" x14ac:dyDescent="0.3">
      <c r="A3" s="4" t="s">
        <v>51</v>
      </c>
      <c r="B3" s="6" t="s">
        <v>18</v>
      </c>
    </row>
    <row r="4" spans="1:7" ht="15.6" x14ac:dyDescent="0.3">
      <c r="A4" s="4" t="s">
        <v>52</v>
      </c>
      <c r="B4" s="6" t="s">
        <v>21</v>
      </c>
    </row>
    <row r="5" spans="1:7" ht="15.6" x14ac:dyDescent="0.3">
      <c r="A5" s="4" t="s">
        <v>59</v>
      </c>
      <c r="B5" s="6" t="s">
        <v>62</v>
      </c>
    </row>
    <row r="6" spans="1:7" s="5" customFormat="1" x14ac:dyDescent="0.3">
      <c r="C6" s="10"/>
    </row>
    <row r="7" spans="1:7" s="12" customFormat="1" ht="23.4" x14ac:dyDescent="0.45">
      <c r="A7" s="12" t="s">
        <v>43</v>
      </c>
    </row>
    <row r="8" spans="1:7" x14ac:dyDescent="0.3">
      <c r="A8" s="3" t="s">
        <v>44</v>
      </c>
    </row>
    <row r="9" spans="1:7" x14ac:dyDescent="0.3">
      <c r="B9" s="3" t="s">
        <v>27</v>
      </c>
      <c r="C9" s="7">
        <f>IFERROR(VLOOKUP($B$1, 'Vehicle Options'!A:H, 4), "")</f>
        <v>2024</v>
      </c>
    </row>
    <row r="10" spans="1:7" x14ac:dyDescent="0.3">
      <c r="B10" s="3" t="s">
        <v>25</v>
      </c>
      <c r="C10" s="7" t="str">
        <f>IFERROR(VLOOKUP($B$1, 'Vehicle Options'!A:H, 2), "")</f>
        <v>Chevrolet </v>
      </c>
    </row>
    <row r="11" spans="1:7" x14ac:dyDescent="0.3">
      <c r="B11" s="3" t="s">
        <v>26</v>
      </c>
      <c r="C11" s="7" t="str">
        <f>IFERROR(VLOOKUP($B$1, 'Vehicle Options'!A:H, 3), "")</f>
        <v>Tahoe</v>
      </c>
    </row>
    <row r="12" spans="1:7" x14ac:dyDescent="0.3">
      <c r="B12" s="3" t="s">
        <v>13</v>
      </c>
      <c r="C12" s="7">
        <f>IFERROR(VLOOKUP($B$1, 'Vehicle Options'!A:H, 5), "")</f>
        <v>5661</v>
      </c>
    </row>
    <row r="13" spans="1:7" x14ac:dyDescent="0.3">
      <c r="B13" s="3" t="s">
        <v>33</v>
      </c>
      <c r="C13" s="7" t="str">
        <f>IFERROR(VLOOKUP($B$1, 'Vehicle Options'!A:H, 6), "")</f>
        <v>AWD</v>
      </c>
      <c r="G13" s="7"/>
    </row>
    <row r="14" spans="1:7" x14ac:dyDescent="0.3">
      <c r="B14" s="3" t="s">
        <v>34</v>
      </c>
      <c r="C14" s="7">
        <f>IFERROR(VLOOKUP($B$1, 'Vehicle Options'!A:H, 7), "")</f>
        <v>33</v>
      </c>
    </row>
    <row r="16" spans="1:7" x14ac:dyDescent="0.3">
      <c r="A16" s="3" t="s">
        <v>49</v>
      </c>
    </row>
    <row r="17" spans="1:3" x14ac:dyDescent="0.3">
      <c r="B17" s="3" t="s">
        <v>55</v>
      </c>
      <c r="C17" s="7" t="str" cm="1">
        <f t="array" ref="C17">IFERROR(_xlfn.IFS(B2&lt;&gt;0,B2), "")</f>
        <v>Motor 6</v>
      </c>
    </row>
    <row r="18" spans="1:3" x14ac:dyDescent="0.3">
      <c r="B18" s="3" t="s">
        <v>3</v>
      </c>
      <c r="C18" s="7">
        <f>IFERROR(VLOOKUP(B2, 'Motor Options'!A:D, 2, FALSE), "")</f>
        <v>600</v>
      </c>
    </row>
    <row r="19" spans="1:3" x14ac:dyDescent="0.3">
      <c r="B19" s="3" t="s">
        <v>1</v>
      </c>
      <c r="C19" s="7">
        <f>IFERROR(VLOOKUP(B2, 'Motor Options'!A:D, 3, FALSE), "")</f>
        <v>3000</v>
      </c>
    </row>
    <row r="20" spans="1:3" x14ac:dyDescent="0.3">
      <c r="B20" s="3" t="s">
        <v>53</v>
      </c>
      <c r="C20" s="7">
        <f>IFERROR(VLOOKUP(B2, 'Motor Options'!A:D, 4, FALSE), "")</f>
        <v>6000</v>
      </c>
    </row>
    <row r="22" spans="1:3" x14ac:dyDescent="0.3">
      <c r="A22" s="3" t="s">
        <v>54</v>
      </c>
    </row>
    <row r="23" spans="1:3" x14ac:dyDescent="0.3">
      <c r="B23" s="3" t="s">
        <v>56</v>
      </c>
      <c r="C23" s="7" t="str" cm="1">
        <f t="array" ref="C23">IFERROR(_xlfn.IFS(B3&lt;&gt;0,B3), "")</f>
        <v>Battery 4</v>
      </c>
    </row>
    <row r="24" spans="1:3" x14ac:dyDescent="0.3">
      <c r="B24" s="3" t="s">
        <v>10</v>
      </c>
      <c r="C24" s="7">
        <f>IFERROR(VLOOKUP($B$3, 'Battery Pack Options'!A:F, 2, FALSE), "")</f>
        <v>330</v>
      </c>
    </row>
    <row r="25" spans="1:3" x14ac:dyDescent="0.3">
      <c r="B25" s="3" t="s">
        <v>89</v>
      </c>
      <c r="C25" s="7">
        <f>IFERROR(VLOOKUP($B$3, 'Battery Pack Options'!A:F, 3, FALSE), "")</f>
        <v>200</v>
      </c>
    </row>
    <row r="26" spans="1:3" x14ac:dyDescent="0.3">
      <c r="B26" s="3" t="s">
        <v>12</v>
      </c>
      <c r="C26" s="7">
        <f>IFERROR(VLOOKUP($B$3, 'Battery Pack Options'!A:F, 4, FALSE), "")</f>
        <v>600</v>
      </c>
    </row>
    <row r="27" spans="1:3" x14ac:dyDescent="0.3">
      <c r="B27" s="3" t="s">
        <v>13</v>
      </c>
      <c r="C27" s="7">
        <f>IFERROR(VLOOKUP($B$3, 'Battery Pack Options'!A:F, 5, FALSE), "")</f>
        <v>4500</v>
      </c>
    </row>
    <row r="28" spans="1:3" x14ac:dyDescent="0.3">
      <c r="B28" s="3" t="s">
        <v>14</v>
      </c>
      <c r="C28" s="7">
        <f>IFERROR(VLOOKUP($B$3, 'Battery Pack Options'!A:F, 6, FALSE), "")</f>
        <v>40000</v>
      </c>
    </row>
    <row r="30" spans="1:3" x14ac:dyDescent="0.3">
      <c r="A30" s="3" t="s">
        <v>57</v>
      </c>
    </row>
    <row r="31" spans="1:3" x14ac:dyDescent="0.3">
      <c r="B31" s="3" t="s">
        <v>58</v>
      </c>
      <c r="C31" s="7" t="str" cm="1">
        <f t="array" ref="C31">IFERROR(_xlfn.IFS(B4&lt;&gt;0,B4), "")</f>
        <v>Gearbox 3</v>
      </c>
    </row>
    <row r="32" spans="1:3" x14ac:dyDescent="0.3">
      <c r="B32" s="3" t="s">
        <v>41</v>
      </c>
      <c r="C32" s="7">
        <f>IFERROR(VLOOKUP(B4, 'Gearbox Options'!A:B, 2, FALSE), "")</f>
        <v>15</v>
      </c>
    </row>
    <row r="34" spans="1:3" x14ac:dyDescent="0.3">
      <c r="A34" s="3" t="s">
        <v>63</v>
      </c>
    </row>
    <row r="35" spans="1:3" x14ac:dyDescent="0.3">
      <c r="B35" s="3" t="s">
        <v>64</v>
      </c>
      <c r="C35" s="7" t="str" cm="1">
        <f t="array" ref="C35">IFERROR(_xlfn.IFS(B5&lt;&gt;0,B5), "")</f>
        <v>Dry</v>
      </c>
    </row>
    <row r="36" spans="1:3" x14ac:dyDescent="0.3">
      <c r="B36" s="3" t="s">
        <v>65</v>
      </c>
      <c r="C36" s="7">
        <f>IFERROR(VLOOKUP(B5, 'Weather (Friction Coefficient)'!A:B, 2, FALSE), "")</f>
        <v>0.7</v>
      </c>
    </row>
    <row r="37" spans="1:3" s="8" customFormat="1" x14ac:dyDescent="0.3">
      <c r="C37" s="11"/>
    </row>
    <row r="38" spans="1:3" s="12" customFormat="1" ht="23.4" x14ac:dyDescent="0.45">
      <c r="A38" s="12" t="s">
        <v>107</v>
      </c>
    </row>
    <row r="39" spans="1:3" x14ac:dyDescent="0.3">
      <c r="A39" s="3" t="s">
        <v>66</v>
      </c>
    </row>
    <row r="40" spans="1:3" x14ac:dyDescent="0.3">
      <c r="B40" s="3" t="s">
        <v>67</v>
      </c>
      <c r="C40" s="7">
        <f>C12*0.453592</f>
        <v>2567.7843119999998</v>
      </c>
    </row>
    <row r="41" spans="1:3" x14ac:dyDescent="0.3">
      <c r="B41" s="3" t="s">
        <v>68</v>
      </c>
      <c r="C41" s="7">
        <f>C27*0.453592</f>
        <v>2041.164</v>
      </c>
    </row>
    <row r="42" spans="1:3" x14ac:dyDescent="0.3">
      <c r="B42" s="3" t="s">
        <v>69</v>
      </c>
      <c r="C42" s="7">
        <f>SUM(C40:C41)</f>
        <v>4608.9483119999995</v>
      </c>
    </row>
    <row r="44" spans="1:3" x14ac:dyDescent="0.3">
      <c r="B44" s="3" t="s">
        <v>70</v>
      </c>
      <c r="C44" s="7">
        <f>C42*9.81</f>
        <v>45213.782940719997</v>
      </c>
    </row>
    <row r="45" spans="1:3" x14ac:dyDescent="0.3">
      <c r="B45" s="3" t="s">
        <v>71</v>
      </c>
      <c r="C45" s="7">
        <f>IF(C13 = "AWD", (C44*C36), (C44*C36)/2)</f>
        <v>31649.648058503997</v>
      </c>
    </row>
    <row r="47" spans="1:3" x14ac:dyDescent="0.3">
      <c r="A47" s="3" t="s">
        <v>72</v>
      </c>
    </row>
    <row r="48" spans="1:3" x14ac:dyDescent="0.3">
      <c r="B48" s="3" t="s">
        <v>73</v>
      </c>
      <c r="C48" s="7">
        <f>(C14/2)*0.0254</f>
        <v>0.41909999999999997</v>
      </c>
    </row>
    <row r="49" spans="1:3" x14ac:dyDescent="0.3">
      <c r="B49" s="3" t="s">
        <v>74</v>
      </c>
      <c r="C49" s="7">
        <f>(C45*C48)/C32</f>
        <v>884.29116675460159</v>
      </c>
    </row>
    <row r="50" spans="1:3" x14ac:dyDescent="0.3">
      <c r="B50" s="3" t="s">
        <v>75</v>
      </c>
      <c r="C50" s="7">
        <f>(C45/2)*C48</f>
        <v>6632.183750659512</v>
      </c>
    </row>
    <row r="52" spans="1:3" x14ac:dyDescent="0.3">
      <c r="A52" s="3" t="s">
        <v>76</v>
      </c>
    </row>
    <row r="53" spans="1:3" x14ac:dyDescent="0.3">
      <c r="B53" s="3" t="s">
        <v>77</v>
      </c>
      <c r="C53" s="7">
        <f>IF((C20-(C49*C19)/C18)&lt;0, "ERROR", (C20-(C49*C19)/C18))</f>
        <v>1578.5441662269923</v>
      </c>
    </row>
    <row r="54" spans="1:3" x14ac:dyDescent="0.3">
      <c r="B54" s="3" t="s">
        <v>78</v>
      </c>
      <c r="C54" s="7">
        <f>2*PI()*C48</f>
        <v>2.6332829622389644</v>
      </c>
    </row>
    <row r="55" spans="1:3" x14ac:dyDescent="0.3">
      <c r="B55" s="3" t="s">
        <v>84</v>
      </c>
      <c r="C55" s="7">
        <f>IFERROR(C53/60/C32*C54, "ERROR")</f>
        <v>4.6186149534080556</v>
      </c>
    </row>
    <row r="56" spans="1:3" x14ac:dyDescent="0.3">
      <c r="B56" s="3" t="s">
        <v>85</v>
      </c>
      <c r="C56" s="7">
        <f>IFERROR(C55*2.23694, "ERROR")</f>
        <v>10.331564533876616</v>
      </c>
    </row>
    <row r="58" spans="1:3" x14ac:dyDescent="0.3">
      <c r="B58" s="3" t="s">
        <v>108</v>
      </c>
      <c r="C58" s="7" t="str">
        <f>IF(C56&gt;60, "YES", "NO")</f>
        <v>NO</v>
      </c>
    </row>
    <row r="60" spans="1:3" x14ac:dyDescent="0.3">
      <c r="A60" s="3" t="s">
        <v>86</v>
      </c>
    </row>
    <row r="61" spans="1:3" x14ac:dyDescent="0.3">
      <c r="B61" s="3" t="s">
        <v>87</v>
      </c>
      <c r="C61" s="7">
        <f>C26*1000/C24</f>
        <v>1818.1818181818182</v>
      </c>
    </row>
    <row r="62" spans="1:3" x14ac:dyDescent="0.3">
      <c r="B62" s="3" t="s">
        <v>88</v>
      </c>
      <c r="C62" s="7">
        <f>C25*1000/C24</f>
        <v>606.06060606060601</v>
      </c>
    </row>
    <row r="63" spans="1:3" x14ac:dyDescent="0.3">
      <c r="B63" s="3" t="s">
        <v>90</v>
      </c>
      <c r="C63" s="7">
        <f>C61/C62</f>
        <v>3.0000000000000004</v>
      </c>
    </row>
    <row r="65" spans="1:3" x14ac:dyDescent="0.3">
      <c r="A65" s="3" t="s">
        <v>94</v>
      </c>
    </row>
    <row r="66" spans="1:3" x14ac:dyDescent="0.3">
      <c r="B66" s="3" t="s">
        <v>93</v>
      </c>
      <c r="C66" s="7">
        <f>C42</f>
        <v>4608.9483119999995</v>
      </c>
    </row>
    <row r="67" spans="1:3" x14ac:dyDescent="0.3">
      <c r="B67" s="3" t="s">
        <v>83</v>
      </c>
      <c r="C67" s="7">
        <f>C45/C66</f>
        <v>6.867</v>
      </c>
    </row>
    <row r="69" spans="1:3" x14ac:dyDescent="0.3">
      <c r="A69" s="3" t="s">
        <v>113</v>
      </c>
    </row>
    <row r="70" spans="1:3" x14ac:dyDescent="0.3">
      <c r="B70" s="3" t="s">
        <v>93</v>
      </c>
      <c r="C70" s="7">
        <f>C66</f>
        <v>4608.9483119999995</v>
      </c>
    </row>
    <row r="71" spans="1:3" x14ac:dyDescent="0.3">
      <c r="B71" s="3" t="s">
        <v>83</v>
      </c>
      <c r="C71" s="7">
        <f>IF(C13="AWD", (C44/C42), ((C44/2)/C42))</f>
        <v>9.81</v>
      </c>
    </row>
    <row r="73" spans="1:3" x14ac:dyDescent="0.3">
      <c r="A73" s="3" t="s">
        <v>79</v>
      </c>
    </row>
    <row r="74" spans="1:3" x14ac:dyDescent="0.3">
      <c r="B74" s="3" t="s">
        <v>82</v>
      </c>
      <c r="C74" s="7">
        <f>C18*C32/C48</f>
        <v>21474.588403722264</v>
      </c>
    </row>
    <row r="75" spans="1:3" x14ac:dyDescent="0.3">
      <c r="B75" s="3" t="s">
        <v>83</v>
      </c>
      <c r="C75" s="7">
        <f>C74/C42</f>
        <v>4.659325067241558</v>
      </c>
    </row>
    <row r="76" spans="1:3" x14ac:dyDescent="0.3">
      <c r="B76" s="3" t="s">
        <v>81</v>
      </c>
      <c r="C76" s="7">
        <f>IFERROR(C55/C75, "ERROR")</f>
        <v>0.99126265859411178</v>
      </c>
    </row>
    <row r="78" spans="1:3" x14ac:dyDescent="0.3">
      <c r="A78" s="3" t="s">
        <v>92</v>
      </c>
    </row>
    <row r="79" spans="1:3" x14ac:dyDescent="0.3">
      <c r="B79" s="3" t="s">
        <v>80</v>
      </c>
      <c r="C79" s="7">
        <f>IFERROR(0.5*C42*(26.8^2-C55^2)/1000, "ERROR")</f>
        <v>1606.0073874789782</v>
      </c>
    </row>
    <row r="80" spans="1:3" x14ac:dyDescent="0.3">
      <c r="B80" s="3" t="s">
        <v>81</v>
      </c>
      <c r="C80" s="7">
        <f>IFERROR(C79/C26, "ERROR")</f>
        <v>2.6766789791316303</v>
      </c>
    </row>
    <row r="82" spans="1:3" x14ac:dyDescent="0.3">
      <c r="A82" s="9"/>
    </row>
    <row r="83" spans="1:3" x14ac:dyDescent="0.3">
      <c r="A83" s="3" t="s">
        <v>91</v>
      </c>
    </row>
    <row r="84" spans="1:3" x14ac:dyDescent="0.3">
      <c r="B84" s="3" t="s">
        <v>96</v>
      </c>
      <c r="C84" s="7">
        <f>26.8/C67</f>
        <v>3.9027231687782149</v>
      </c>
    </row>
    <row r="85" spans="1:3" x14ac:dyDescent="0.3">
      <c r="B85" s="3" t="s">
        <v>95</v>
      </c>
      <c r="C85" s="7">
        <f>IFERROR(C76+C80, "ERROR")</f>
        <v>3.6679416377257423</v>
      </c>
    </row>
    <row r="86" spans="1:3" x14ac:dyDescent="0.3">
      <c r="B86" s="3" t="s">
        <v>97</v>
      </c>
      <c r="C86" s="7">
        <f>IFERROR(26.8/C85, "ERROR")</f>
        <v>7.306550279959465</v>
      </c>
    </row>
    <row r="88" spans="1:3" x14ac:dyDescent="0.3">
      <c r="A88" s="3" t="s">
        <v>98</v>
      </c>
    </row>
    <row r="89" spans="1:3" x14ac:dyDescent="0.3">
      <c r="B89" s="3" t="s">
        <v>83</v>
      </c>
      <c r="C89" s="7">
        <f>C86</f>
        <v>7.306550279959465</v>
      </c>
    </row>
    <row r="90" spans="1:3" x14ac:dyDescent="0.3">
      <c r="B90" s="3" t="s">
        <v>99</v>
      </c>
      <c r="C90" s="7">
        <f>26.8/C54*60</f>
        <v>610.64459196317762</v>
      </c>
    </row>
    <row r="91" spans="1:3" x14ac:dyDescent="0.3">
      <c r="B91" s="3" t="s">
        <v>100</v>
      </c>
      <c r="C91" s="7">
        <f>0.5*C42*26.8^2</f>
        <v>1655165.5178054399</v>
      </c>
    </row>
    <row r="92" spans="1:3" x14ac:dyDescent="0.3">
      <c r="B92" s="3" t="s">
        <v>102</v>
      </c>
      <c r="C92" s="7">
        <f>IFERROR(C91/C85/1000, "ERROR")</f>
        <v>451.25186856345482</v>
      </c>
    </row>
    <row r="94" spans="1:3" x14ac:dyDescent="0.3">
      <c r="B94" s="3" t="s">
        <v>101</v>
      </c>
      <c r="C94" s="7">
        <f>IFERROR(C92/C24*1000, "ERROR")</f>
        <v>1367.4299047377419</v>
      </c>
    </row>
    <row r="96" spans="1:3" x14ac:dyDescent="0.3">
      <c r="A96" s="3" t="s">
        <v>103</v>
      </c>
    </row>
    <row r="97" spans="1:3" x14ac:dyDescent="0.3">
      <c r="B97" s="3" t="s">
        <v>82</v>
      </c>
      <c r="C97" s="7">
        <f>IFERROR(C42*C89, "ERROR")</f>
        <v>33675.512579362301</v>
      </c>
    </row>
    <row r="98" spans="1:3" x14ac:dyDescent="0.3">
      <c r="B98" s="3" t="s">
        <v>104</v>
      </c>
      <c r="C98" s="7">
        <f>IFERROR(C97*C48, "ERROR")</f>
        <v>14113.40732201074</v>
      </c>
    </row>
    <row r="99" spans="1:3" x14ac:dyDescent="0.3">
      <c r="B99" s="3" t="s">
        <v>105</v>
      </c>
      <c r="C99" s="7">
        <f>IFERROR(C98/C32, "ERROR")</f>
        <v>940.89382146738274</v>
      </c>
    </row>
    <row r="100" spans="1:3" s="8" customFormat="1" x14ac:dyDescent="0.3">
      <c r="C100" s="11"/>
    </row>
    <row r="101" spans="1:3" s="12" customFormat="1" ht="23.4" x14ac:dyDescent="0.45">
      <c r="A101" s="12" t="s">
        <v>106</v>
      </c>
    </row>
    <row r="102" spans="1:3" x14ac:dyDescent="0.3">
      <c r="A102" s="3" t="s">
        <v>109</v>
      </c>
    </row>
    <row r="103" spans="1:3" x14ac:dyDescent="0.3">
      <c r="B103" s="3" t="s">
        <v>110</v>
      </c>
      <c r="C103" s="7">
        <f>IF(C13="AWD", 26.8/(C44/C42), 26.8/((C44/2)/C42))</f>
        <v>2.7319062181447502</v>
      </c>
    </row>
    <row r="104" spans="1:3" x14ac:dyDescent="0.3">
      <c r="B104" s="3" t="s">
        <v>111</v>
      </c>
      <c r="C104" s="7">
        <f>IF(C58="NO", C85, C84)</f>
        <v>3.6679416377257423</v>
      </c>
    </row>
    <row r="106" spans="1:3" x14ac:dyDescent="0.3">
      <c r="A106" s="3" t="s">
        <v>112</v>
      </c>
      <c r="B106" s="3" t="str">
        <f>IF(C45&lt;C97, "YES", "NO")</f>
        <v>YES</v>
      </c>
    </row>
    <row r="108" spans="1:3" x14ac:dyDescent="0.3">
      <c r="A108" s="3" t="s">
        <v>114</v>
      </c>
    </row>
    <row r="109" spans="1:3" x14ac:dyDescent="0.3">
      <c r="B109" s="3" t="s">
        <v>102</v>
      </c>
      <c r="C109" s="7">
        <f>C92</f>
        <v>451.25186856345482</v>
      </c>
    </row>
    <row r="110" spans="1:3" x14ac:dyDescent="0.3">
      <c r="B110" s="3" t="s">
        <v>116</v>
      </c>
      <c r="C110" s="7">
        <f>C94</f>
        <v>1367.4299047377419</v>
      </c>
    </row>
    <row r="112" spans="1:3" x14ac:dyDescent="0.3">
      <c r="A112" s="3" t="s">
        <v>115</v>
      </c>
      <c r="B112" s="3">
        <f>C56</f>
        <v>10.331564533876616</v>
      </c>
    </row>
  </sheetData>
  <mergeCells count="3">
    <mergeCell ref="A7:XFD7"/>
    <mergeCell ref="A38:XFD38"/>
    <mergeCell ref="A101:XFD101"/>
  </mergeCells>
  <conditionalFormatting sqref="C1:C1048576">
    <cfRule type="containsText" dxfId="0" priority="1" operator="containsText" text="ERROR">
      <formula>NOT(ISERROR(SEARCH("ERROR",C1)))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057E6E0-32B5-4E69-BCF2-6BD6AA059211}">
          <x14:formula1>
            <xm:f>'Vehicle Options'!$A$2:$A$1048576</xm:f>
          </x14:formula1>
          <xm:sqref>B1</xm:sqref>
        </x14:dataValidation>
        <x14:dataValidation type="list" allowBlank="1" showInputMessage="1" showErrorMessage="1" xr:uid="{121E120E-755A-43FC-81C7-E87053034E9D}">
          <x14:formula1>
            <xm:f>'Motor Options'!$A$2:$A$1048576</xm:f>
          </x14:formula1>
          <xm:sqref>B2</xm:sqref>
        </x14:dataValidation>
        <x14:dataValidation type="list" allowBlank="1" showInputMessage="1" showErrorMessage="1" xr:uid="{5AD8E887-7997-4A76-9077-47FCE7282256}">
          <x14:formula1>
            <xm:f>'Battery Pack Options'!$A$2:$A$1048576</xm:f>
          </x14:formula1>
          <xm:sqref>B3</xm:sqref>
        </x14:dataValidation>
        <x14:dataValidation type="list" allowBlank="1" showInputMessage="1" showErrorMessage="1" xr:uid="{27AF4C0C-1531-4C7B-883F-F3E26F5D5206}">
          <x14:formula1>
            <xm:f>'Gearbox Options'!$A$2:$A$1048576</xm:f>
          </x14:formula1>
          <xm:sqref>B4</xm:sqref>
        </x14:dataValidation>
        <x14:dataValidation type="list" allowBlank="1" showInputMessage="1" showErrorMessage="1" xr:uid="{5059A0D6-C8FC-413F-A2FC-3E19B74DC9D6}">
          <x14:formula1>
            <xm:f>'Weather (Friction Coefficient)'!$A$2:$A$1048576</xm:f>
          </x14:formula1>
          <xm:sqref>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77C93-C896-441C-A430-CFB773859BC7}">
  <dimension ref="A1:B3"/>
  <sheetViews>
    <sheetView topLeftCell="B1" workbookViewId="0">
      <selection activeCell="E9" sqref="E9"/>
    </sheetView>
  </sheetViews>
  <sheetFormatPr defaultRowHeight="14.4" x14ac:dyDescent="0.3"/>
  <cols>
    <col min="1" max="1" width="10.21875" bestFit="1" customWidth="1"/>
    <col min="2" max="2" width="21.21875" bestFit="1" customWidth="1"/>
  </cols>
  <sheetData>
    <row r="1" spans="1:2" x14ac:dyDescent="0.3">
      <c r="A1" t="s">
        <v>60</v>
      </c>
      <c r="B1" t="s">
        <v>63</v>
      </c>
    </row>
    <row r="2" spans="1:2" x14ac:dyDescent="0.3">
      <c r="A2" t="s">
        <v>61</v>
      </c>
      <c r="B2">
        <v>0.4</v>
      </c>
    </row>
    <row r="3" spans="1:2" x14ac:dyDescent="0.3">
      <c r="A3" t="s">
        <v>62</v>
      </c>
      <c r="B3">
        <v>0.7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3D0D0-77CD-4D74-BECF-849D9B430834}">
  <dimension ref="A1:H4"/>
  <sheetViews>
    <sheetView workbookViewId="0">
      <selection activeCell="C15" sqref="C15"/>
    </sheetView>
  </sheetViews>
  <sheetFormatPr defaultRowHeight="14.4" x14ac:dyDescent="0.3"/>
  <cols>
    <col min="1" max="1" width="16.6640625" bestFit="1" customWidth="1"/>
    <col min="2" max="2" width="9" bestFit="1" customWidth="1"/>
    <col min="3" max="3" width="9.88671875" bestFit="1" customWidth="1"/>
    <col min="4" max="4" width="6.88671875" bestFit="1" customWidth="1"/>
    <col min="5" max="5" width="19.44140625" bestFit="1" customWidth="1"/>
    <col min="6" max="6" width="11.77734375" bestFit="1" customWidth="1"/>
    <col min="7" max="7" width="17.77734375" bestFit="1" customWidth="1"/>
    <col min="8" max="8" width="48.5546875" bestFit="1" customWidth="1"/>
  </cols>
  <sheetData>
    <row r="1" spans="1:8" x14ac:dyDescent="0.3">
      <c r="A1" t="s">
        <v>28</v>
      </c>
      <c r="B1" t="s">
        <v>25</v>
      </c>
      <c r="C1" t="s">
        <v>26</v>
      </c>
      <c r="D1" t="s">
        <v>27</v>
      </c>
      <c r="E1" t="s">
        <v>45</v>
      </c>
      <c r="F1" t="s">
        <v>33</v>
      </c>
      <c r="G1" t="s">
        <v>34</v>
      </c>
      <c r="H1" t="s">
        <v>35</v>
      </c>
    </row>
    <row r="2" spans="1:8" x14ac:dyDescent="0.3">
      <c r="A2" t="s">
        <v>22</v>
      </c>
      <c r="B2" t="s">
        <v>29</v>
      </c>
      <c r="C2" t="s">
        <v>30</v>
      </c>
      <c r="D2">
        <v>2024</v>
      </c>
      <c r="E2">
        <v>2368</v>
      </c>
      <c r="F2" t="s">
        <v>46</v>
      </c>
      <c r="G2">
        <v>23.7</v>
      </c>
      <c r="H2" s="1" t="s">
        <v>36</v>
      </c>
    </row>
    <row r="3" spans="1:8" x14ac:dyDescent="0.3">
      <c r="A3" t="s">
        <v>23</v>
      </c>
      <c r="B3" t="s">
        <v>31</v>
      </c>
      <c r="C3" t="s">
        <v>32</v>
      </c>
      <c r="D3">
        <v>2024</v>
      </c>
      <c r="E3">
        <v>3340</v>
      </c>
      <c r="F3" t="s">
        <v>47</v>
      </c>
      <c r="G3">
        <v>26.3</v>
      </c>
      <c r="H3" s="1" t="s">
        <v>37</v>
      </c>
    </row>
    <row r="4" spans="1:8" x14ac:dyDescent="0.3">
      <c r="A4" t="s">
        <v>24</v>
      </c>
      <c r="B4" t="s">
        <v>39</v>
      </c>
      <c r="C4" t="s">
        <v>40</v>
      </c>
      <c r="D4">
        <v>2024</v>
      </c>
      <c r="E4">
        <v>5661</v>
      </c>
      <c r="F4" t="s">
        <v>48</v>
      </c>
      <c r="G4">
        <v>33</v>
      </c>
      <c r="H4" s="1" t="s">
        <v>38</v>
      </c>
    </row>
  </sheetData>
  <hyperlinks>
    <hyperlink ref="H2" r:id="rId1" display="https://www.edmunds.com/mazda/mx-5-miata/2024/st-401986487/features-specs/" xr:uid="{4601C20D-84F6-44AB-81D8-1A771FE75E35}"/>
    <hyperlink ref="H3" r:id="rId2" display="https://www.edmunds.com/toyota/camry/2024/features-specs/" xr:uid="{9266EC8B-387E-4B2F-954B-68E3B16CAD56}"/>
    <hyperlink ref="H4" r:id="rId3" display="https://www.edmunds.com/chevrolet/tahoe/2024/st-402019956/features-specs/" xr:uid="{1278720B-BA95-4EAE-BDA7-71AE5D6A03C1}"/>
  </hyperlinks>
  <pageMargins left="0.7" right="0.7" top="0.75" bottom="0.75" header="0.3" footer="0.3"/>
  <tableParts count="1"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49500-0A62-4231-91C2-90AB04AB0C9A}">
  <dimension ref="A1:D7"/>
  <sheetViews>
    <sheetView workbookViewId="0">
      <selection activeCell="E16" sqref="E16"/>
    </sheetView>
  </sheetViews>
  <sheetFormatPr defaultRowHeight="14.4" x14ac:dyDescent="0.3"/>
  <cols>
    <col min="1" max="1" width="8.21875" bestFit="1" customWidth="1"/>
    <col min="2" max="2" width="18.88671875" bestFit="1" customWidth="1"/>
    <col min="3" max="3" width="19.21875" bestFit="1" customWidth="1"/>
    <col min="4" max="4" width="21.44140625" bestFit="1" customWidth="1"/>
  </cols>
  <sheetData>
    <row r="1" spans="1:4" x14ac:dyDescent="0.3">
      <c r="A1" t="s">
        <v>0</v>
      </c>
      <c r="B1" t="s">
        <v>3</v>
      </c>
      <c r="C1" t="s">
        <v>1</v>
      </c>
      <c r="D1" t="s">
        <v>2</v>
      </c>
    </row>
    <row r="2" spans="1:4" x14ac:dyDescent="0.3">
      <c r="A2" t="s">
        <v>4</v>
      </c>
      <c r="B2">
        <v>100</v>
      </c>
      <c r="C2">
        <v>5000</v>
      </c>
      <c r="D2">
        <v>10000</v>
      </c>
    </row>
    <row r="3" spans="1:4" x14ac:dyDescent="0.3">
      <c r="A3" t="s">
        <v>5</v>
      </c>
      <c r="B3">
        <v>100</v>
      </c>
      <c r="C3">
        <v>3000</v>
      </c>
      <c r="D3">
        <v>6000</v>
      </c>
    </row>
    <row r="4" spans="1:4" x14ac:dyDescent="0.3">
      <c r="A4" t="s">
        <v>6</v>
      </c>
      <c r="B4">
        <v>300</v>
      </c>
      <c r="C4">
        <v>5000</v>
      </c>
      <c r="D4">
        <v>10000</v>
      </c>
    </row>
    <row r="5" spans="1:4" x14ac:dyDescent="0.3">
      <c r="A5" t="s">
        <v>7</v>
      </c>
      <c r="B5">
        <v>300</v>
      </c>
      <c r="C5">
        <v>3000</v>
      </c>
      <c r="D5">
        <v>6000</v>
      </c>
    </row>
    <row r="6" spans="1:4" x14ac:dyDescent="0.3">
      <c r="A6" t="s">
        <v>8</v>
      </c>
      <c r="B6">
        <v>600</v>
      </c>
      <c r="C6">
        <v>5000</v>
      </c>
      <c r="D6">
        <v>10000</v>
      </c>
    </row>
    <row r="7" spans="1:4" x14ac:dyDescent="0.3">
      <c r="A7" t="s">
        <v>9</v>
      </c>
      <c r="B7">
        <v>600</v>
      </c>
      <c r="C7">
        <v>3000</v>
      </c>
      <c r="D7">
        <v>6000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BB8E4-992B-49E9-944D-247350888EA6}">
  <dimension ref="A1:F5"/>
  <sheetViews>
    <sheetView workbookViewId="0">
      <selection activeCell="B28" sqref="B28"/>
    </sheetView>
  </sheetViews>
  <sheetFormatPr defaultRowHeight="14.4" x14ac:dyDescent="0.3"/>
  <cols>
    <col min="1" max="1" width="8.21875" bestFit="1" customWidth="1"/>
    <col min="2" max="2" width="19.88671875" bestFit="1" customWidth="1"/>
    <col min="3" max="3" width="16.109375" bestFit="1" customWidth="1"/>
    <col min="4" max="4" width="17.21875" bestFit="1" customWidth="1"/>
    <col min="5" max="5" width="13.21875" bestFit="1" customWidth="1"/>
    <col min="6" max="6" width="9.6640625" bestFit="1" customWidth="1"/>
  </cols>
  <sheetData>
    <row r="1" spans="1:6" x14ac:dyDescent="0.3">
      <c r="A1" t="s">
        <v>0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</row>
    <row r="2" spans="1:6" x14ac:dyDescent="0.3">
      <c r="A2" t="s">
        <v>15</v>
      </c>
      <c r="B2">
        <v>330</v>
      </c>
      <c r="C2">
        <v>100</v>
      </c>
      <c r="D2">
        <v>200</v>
      </c>
      <c r="E2">
        <v>2000</v>
      </c>
      <c r="F2">
        <v>15000</v>
      </c>
    </row>
    <row r="3" spans="1:6" x14ac:dyDescent="0.3">
      <c r="A3" t="s">
        <v>16</v>
      </c>
      <c r="B3">
        <v>330</v>
      </c>
      <c r="C3">
        <v>100</v>
      </c>
      <c r="D3">
        <v>300</v>
      </c>
      <c r="E3">
        <v>2000</v>
      </c>
      <c r="F3">
        <v>20000</v>
      </c>
    </row>
    <row r="4" spans="1:6" x14ac:dyDescent="0.3">
      <c r="A4" t="s">
        <v>17</v>
      </c>
      <c r="B4">
        <v>330</v>
      </c>
      <c r="C4">
        <v>150</v>
      </c>
      <c r="D4">
        <v>400</v>
      </c>
      <c r="E4">
        <v>3000</v>
      </c>
      <c r="F4">
        <v>30000</v>
      </c>
    </row>
    <row r="5" spans="1:6" x14ac:dyDescent="0.3">
      <c r="A5" t="s">
        <v>18</v>
      </c>
      <c r="B5">
        <v>330</v>
      </c>
      <c r="C5">
        <v>200</v>
      </c>
      <c r="D5">
        <v>600</v>
      </c>
      <c r="E5">
        <v>4500</v>
      </c>
      <c r="F5">
        <v>40000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2BF75-BED9-42FD-A1CC-ED24A82AAB79}">
  <dimension ref="A1:B4"/>
  <sheetViews>
    <sheetView workbookViewId="0">
      <selection activeCell="F5" sqref="F5"/>
    </sheetView>
  </sheetViews>
  <sheetFormatPr defaultRowHeight="14.4" x14ac:dyDescent="0.3"/>
  <cols>
    <col min="1" max="1" width="9.109375" bestFit="1" customWidth="1"/>
    <col min="2" max="2" width="12.33203125" bestFit="1" customWidth="1"/>
  </cols>
  <sheetData>
    <row r="1" spans="1:2" x14ac:dyDescent="0.3">
      <c r="A1" t="s">
        <v>0</v>
      </c>
      <c r="B1" t="s">
        <v>41</v>
      </c>
    </row>
    <row r="2" spans="1:2" x14ac:dyDescent="0.3">
      <c r="A2" t="s">
        <v>19</v>
      </c>
      <c r="B2" s="2">
        <v>7</v>
      </c>
    </row>
    <row r="3" spans="1:2" x14ac:dyDescent="0.3">
      <c r="A3" t="s">
        <v>20</v>
      </c>
      <c r="B3" s="2">
        <v>10</v>
      </c>
    </row>
    <row r="4" spans="1:2" x14ac:dyDescent="0.3">
      <c r="A4" t="s">
        <v>21</v>
      </c>
      <c r="B4" s="2">
        <v>15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Vehicle 1 Calculations</vt:lpstr>
      <vt:lpstr>Vehicle 2 Calculations</vt:lpstr>
      <vt:lpstr>Vehicle 3 Calculations</vt:lpstr>
      <vt:lpstr>Weather (Friction Coefficient)</vt:lpstr>
      <vt:lpstr>Vehicle Options</vt:lpstr>
      <vt:lpstr>Motor Options</vt:lpstr>
      <vt:lpstr>Battery Pack Options</vt:lpstr>
      <vt:lpstr>Gearbox Options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Gurnani, Sidh Dharam</dc:creator>
  <cp:lastModifiedBy>Gurnani, Sidh Dharam</cp:lastModifiedBy>
  <dcterms:created xsi:type="dcterms:W3CDTF">2024-11-10T17:11:52Z</dcterms:created>
  <dcterms:modified xsi:type="dcterms:W3CDTF">2024-12-05T14:30:02Z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44bd30-2ed7-4c9d-9d12-46200872a97b_Enabled">
    <vt:lpwstr>true</vt:lpwstr>
  </property>
  <property fmtid="{D5CDD505-2E9C-101B-9397-08002B2CF9AE}" pid="3" name="MSIP_Label_4044bd30-2ed7-4c9d-9d12-46200872a97b_SetDate">
    <vt:lpwstr>2024-11-10T17:11:54Z</vt:lpwstr>
  </property>
  <property fmtid="{D5CDD505-2E9C-101B-9397-08002B2CF9AE}" pid="4" name="MSIP_Label_4044bd30-2ed7-4c9d-9d12-46200872a97b_Method">
    <vt:lpwstr>Standard</vt:lpwstr>
  </property>
  <property fmtid="{D5CDD505-2E9C-101B-9397-08002B2CF9AE}" pid="5" name="MSIP_Label_4044bd30-2ed7-4c9d-9d12-46200872a97b_Name">
    <vt:lpwstr>defa4170-0d19-0005-0004-bc88714345d2</vt:lpwstr>
  </property>
  <property fmtid="{D5CDD505-2E9C-101B-9397-08002B2CF9AE}" pid="6" name="MSIP_Label_4044bd30-2ed7-4c9d-9d12-46200872a97b_SiteId">
    <vt:lpwstr>4130bd39-7c53-419c-b1e5-8758d6d63f21</vt:lpwstr>
  </property>
  <property fmtid="{D5CDD505-2E9C-101B-9397-08002B2CF9AE}" pid="7" name="MSIP_Label_4044bd30-2ed7-4c9d-9d12-46200872a97b_ActionId">
    <vt:lpwstr>32715f99-018d-4070-8664-55e3fdcabf3f</vt:lpwstr>
  </property>
  <property fmtid="{D5CDD505-2E9C-101B-9397-08002B2CF9AE}" pid="8" name="MSIP_Label_4044bd30-2ed7-4c9d-9d12-46200872a97b_ContentBits">
    <vt:lpwstr>0</vt:lpwstr>
  </property>
</Properties>
</file>